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4LDDMLb2Sb+MMbJYdVAa2yCkNMmsSPSAxsACUA8Ma+zC7GBxKYrUiQo+TxPt43uaRwA5IGBz0PMifQ7WBhk+fQ==" workbookSaltValue="/Q6PDTI1tUD/+f/eye3C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L10" i="11"/>
  <c r="BK16"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C13" i="7"/>
  <c r="BG10" i="8"/>
  <c r="B9" i="6"/>
  <c r="BL17" i="11"/>
  <c r="BH17" i="16"/>
  <c r="T9" i="11"/>
  <c r="C12" i="14"/>
  <c r="K12" i="14" s="1"/>
  <c r="V9" i="16"/>
  <c r="L9" i="2"/>
  <c r="U9" i="17"/>
  <c r="U19" i="17" s="1"/>
  <c r="X10" i="21"/>
  <c r="L16" i="2"/>
  <c r="L15" i="2"/>
  <c r="L10" i="2"/>
  <c r="BL16" i="11"/>
  <c r="BJ16" i="11"/>
  <c r="AQ12" i="21"/>
  <c r="BH16" i="11"/>
  <c r="BF15" i="11"/>
  <c r="BH11" i="11"/>
  <c r="BJ10" i="11"/>
  <c r="BL15" i="11"/>
  <c r="BG12" i="11"/>
  <c r="BW10" i="20"/>
  <c r="BW12" i="20"/>
  <c r="BU11" i="17"/>
  <c r="BK17" i="11"/>
  <c r="BJ12" i="11"/>
  <c r="BM12" i="11"/>
  <c r="BF10" i="11"/>
  <c r="BM16" i="11"/>
  <c r="BH11" i="16"/>
  <c r="AL16" i="11"/>
  <c r="C16" i="6"/>
  <c r="BE9" i="13"/>
  <c r="BM17" i="11"/>
  <c r="Q15" i="17"/>
  <c r="BH10" i="16"/>
  <c r="S10" i="17"/>
  <c r="AQ10" i="2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<sst xmlns="http://schemas.openxmlformats.org/spreadsheetml/2006/main" count="2088" uniqueCount="918">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</sst>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GaFBYxoaCp2eM9x+b7az1I2a4bcMwmEZnmApCI+NRZELp/hy+2QpGO4hj89y10+KzaBeJAiulbA/ZvWrN8+gQ==" saltValue="nSw2K116Wf4CX5QpPD+q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24.081270956410666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68</v>
      </c>
      <c r="D10" s="225">
        <f>IF(ISNUMBER(Datos!I10),Datos!I10," - ")</f>
        <v>68</v>
      </c>
      <c r="E10" s="226">
        <f>IF(ISNUMBER(Datos!J10),Datos!J10," - ")</f>
        <v>31</v>
      </c>
      <c r="F10" s="226">
        <f>IF(ISNUMBER(Datos!K10),Datos!K10," - ")</f>
        <v>27</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5.8823529411764705E-2</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12.15188679245283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68</v>
      </c>
      <c r="D13" s="1049">
        <f>SUBTOTAL(9,D9:D12)</f>
        <v>68</v>
      </c>
      <c r="E13" s="1050">
        <f>SUBTOTAL(9,E9:E12)</f>
        <v>31</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2971</v>
      </c>
      <c r="D15" s="225">
        <f>IF(ISNUMBER(IF(D_I="SI",Datos!I15,Datos!I15+Datos!AC15)),IF(D_I="SI",Datos!I15,Datos!I15+Datos!AC15)," - ")</f>
        <v>2867</v>
      </c>
      <c r="E15" s="226">
        <f>IF(ISNUMBER(IF(D_I="SI",Datos!J15,Datos!J15+Datos!AD15)),IF(D_I="SI",Datos!J15,Datos!J15+Datos!AD15)," - ")</f>
        <v>6138</v>
      </c>
      <c r="F15" s="226">
        <f>IF(ISNUMBER(IF(D_I="SI",Datos!K15,Datos!K15+Datos!AE15)),IF(D_I="SI",Datos!K15,Datos!K15+Datos!AE15)," - ")</f>
        <v>6349</v>
      </c>
      <c r="G15" s="1034" t="str">
        <f>IF(Datos!E15&lt;&gt;"",Datos!E15,Datos!D15)</f>
        <v>03</v>
      </c>
      <c r="H15" s="227">
        <f>IF(ISNUMBER(IF(D_I="SI",Datos!L15,Datos!L15+Datos!AF15)),IF(D_I="SI",Datos!L15,Datos!L15+Datos!AF15)," - ")</f>
        <v>2760</v>
      </c>
      <c r="I15" s="1044" t="str">
        <f>IF(ISNUMBER(Datos!AS15/Datos!BM15),Datos!AS15/Datos!BM15," - ")</f>
        <v xml:space="preserve"> - </v>
      </c>
      <c r="J15" s="1045">
        <f>IF(ISNUMBER(Datos!BY15/Datos!CN15),Datos!BY15/Datos!CN15," - ")</f>
        <v>0</v>
      </c>
      <c r="K15" s="230">
        <f t="shared" ref="K15:K17" si="3">IF(ISNUMBER((E15-F15)/C15),(E15-F15)/C15," - ")</f>
        <v>-7.1019858633456751E-2</v>
      </c>
      <c r="L15" s="1025">
        <f>IF(ISNUMBER(NºAsuntos!I15/NºAsuntos!G15),(NºAsuntos!I15/NºAsuntos!G15)*11," - ")</f>
        <v>4.7818554103008344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308</v>
      </c>
      <c r="D17" s="225">
        <f>IF(ISNUMBER(IF(D_I="SI",Datos!I17,Datos!I17+Datos!AC17)),IF(D_I="SI",Datos!I17,Datos!I17+Datos!AC17)," - ")</f>
        <v>346</v>
      </c>
      <c r="E17" s="226">
        <f>IF(ISNUMBER(IF(D_I="SI",Datos!J17,Datos!J17+Datos!AD17)),IF(D_I="SI",Datos!J17,Datos!J17+Datos!AD17)," - ")</f>
        <v>313</v>
      </c>
      <c r="F17" s="226">
        <f>IF(ISNUMBER(IF(D_I="SI",Datos!K17,Datos!K17+Datos!AE17)),IF(D_I="SI",Datos!K17,Datos!K17+Datos!AE17)," - ")</f>
        <v>340</v>
      </c>
      <c r="G17" s="1034" t="str">
        <f>IF(Datos!E17&lt;&gt;"",Datos!E17,Datos!D17)</f>
        <v>37</v>
      </c>
      <c r="H17" s="227">
        <f>IF(ISNUMBER(IF(D_I="SI",Datos!L17,Datos!L17+Datos!AF17)),IF(D_I="SI",Datos!L17,Datos!L17+Datos!AF17)," - ")</f>
        <v>281</v>
      </c>
      <c r="I17" s="1044" t="str">
        <f>IF(ISNUMBER(Datos!AS17/Datos!BM17),Datos!AS17/Datos!BM17," - ")</f>
        <v xml:space="preserve"> - </v>
      </c>
      <c r="J17" s="1045" t="str">
        <f>IF(ISNUMBER((Datos!BY17+Datos!BZ17)/Datos!CN17),(Datos!BY17+Datos!BZ17)/Datos!CN17," - ")</f>
        <v xml:space="preserve"> - </v>
      </c>
      <c r="K17" s="230">
        <f t="shared" si="3"/>
        <v>-8.7662337662337664E-2</v>
      </c>
      <c r="L17" s="1025">
        <f>IF(ISNUMBER(NºAsuntos!I17/NºAsuntos!G17),(NºAsuntos!I17/NºAsuntos!G17)*11," - ")</f>
        <v>9.0911764705882341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3279</v>
      </c>
      <c r="D18" s="1049">
        <f>SUBTOTAL(9,D15:D17)</f>
        <v>3213</v>
      </c>
      <c r="E18" s="1050">
        <f>SUBTOTAL(9,E15:E17)</f>
        <v>6451</v>
      </c>
      <c r="F18" s="1050">
        <f>SUBTOTAL(9,F15:F17)</f>
        <v>6689</v>
      </c>
      <c r="G18" s="1052" t="str">
        <f ca="1">INDIRECT(CONCATENATE("G",ROW()-1))</f>
        <v>37</v>
      </c>
      <c r="H18" s="1053">
        <f ca="1">SUMIF(G$14:G17,G18,H$14:H17)</f>
        <v>281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3347</v>
      </c>
      <c r="D19" s="1071">
        <f>SUBTOTAL(9,D9:D18)</f>
        <v>3281</v>
      </c>
      <c r="E19" s="1072">
        <f>SUBTOTAL(9,E9:E18)</f>
        <v>6482</v>
      </c>
      <c r="F19" s="1072">
        <f>SUBTOTAL(9,F9:F18)</f>
        <v>6716</v>
      </c>
      <c r="G19" s="1073"/>
      <c r="H19" s="1074">
        <f ca="1">SUMIF(B9:B18,"TOTAL",H9:H18)</f>
        <v>281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xLRL4QexL3BGlYKMDQlmR71P21wE0yP9LdzvOUwLlqOTGtwWs39tiSd1BwU9hzAubz2XsXCQxaAsbSGkckDw==" saltValue="nv1PE6dc8KpG/TzOzBJHX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Z9eB1qLbCz7mhDqIyWHkDSByo6KPSagaVI8sYDvUCugCmnmuU8yVHCc55hKiMC9cr4o+ic7aJ+h0ckEcBlg4g==" saltValue="yV99upmF4ZQ59/iZWJvs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14409</v>
      </c>
      <c r="J9" s="181">
        <v>6027</v>
      </c>
      <c r="K9" s="181">
        <v>6019</v>
      </c>
      <c r="L9" s="181">
        <v>13385</v>
      </c>
      <c r="M9" s="181">
        <v>1899</v>
      </c>
      <c r="N9" s="181">
        <v>2064</v>
      </c>
      <c r="O9" s="181">
        <v>2778</v>
      </c>
      <c r="P9" s="181">
        <v>1166</v>
      </c>
      <c r="Q9" s="181">
        <v>795</v>
      </c>
      <c r="R9" s="181">
        <v>16337</v>
      </c>
      <c r="S9" s="181">
        <v>12080</v>
      </c>
      <c r="T9" s="181">
        <v>4959</v>
      </c>
      <c r="U9" s="181">
        <v>4710</v>
      </c>
      <c r="V9" s="181">
        <v>12240</v>
      </c>
      <c r="W9" s="181">
        <v>1503</v>
      </c>
      <c r="X9" s="188">
        <v>1939</v>
      </c>
      <c r="Y9" s="191">
        <v>396</v>
      </c>
      <c r="Z9" s="181">
        <v>209</v>
      </c>
      <c r="AA9" s="181">
        <v>244</v>
      </c>
      <c r="AB9" s="181">
        <v>326</v>
      </c>
      <c r="AC9" s="181">
        <v>0</v>
      </c>
      <c r="AD9" s="181">
        <v>0</v>
      </c>
      <c r="AE9" s="181">
        <v>0</v>
      </c>
      <c r="AF9" s="188">
        <v>0</v>
      </c>
      <c r="AG9" s="191">
        <v>489</v>
      </c>
      <c r="AH9" s="181">
        <v>254</v>
      </c>
      <c r="AI9" s="181">
        <v>253</v>
      </c>
      <c r="AJ9" s="192">
        <v>490</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12569</v>
      </c>
      <c r="AZ9" s="123">
        <f>IF(ISNUMBER(IF(J_V="SI",T9,T9+AH9)),IF(J_V="SI",T9,T9+AH9)," - ")</f>
        <v>5213</v>
      </c>
      <c r="BA9" s="124">
        <f>IF(ISNUMBER(IF(J_V="SI",U9,U9+AI9)),IF(J_V="SI",U9,U9+AI9)," - ")</f>
        <v>4963</v>
      </c>
      <c r="BB9" s="124">
        <f>IF(ISNUMBER(IF(J_V="SI",V9,V9+AJ9)),IF(J_V="SI",V9,V9+AJ9)," - ")</f>
        <v>12730</v>
      </c>
      <c r="BC9" s="125">
        <f>IF(ISNUMBER(X9),X9," - ")</f>
        <v>1939</v>
      </c>
      <c r="BD9" s="126">
        <f>IF(ISNUMBER(BA9/AZ9),BA9/AZ9," - ")</f>
        <v>0.95204296949932865</v>
      </c>
      <c r="BE9" s="127">
        <f>IF(ISNUMBER(BB9/BA9),BB9/BA9, " - ")</f>
        <v>2.5649808583518032</v>
      </c>
      <c r="BF9" s="127">
        <f>IF(ISNUMBER(BC9/BA9),BC9/BA9, " - ")</f>
        <v>0.39069111424541608</v>
      </c>
      <c r="BG9" s="196">
        <f>IF(ISNUMBER((AY9+AZ9)/BA9),(AY9+AZ9)/BA9," - ")</f>
        <v>3.5829135603465647</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68</v>
      </c>
      <c r="J10" s="181">
        <v>31</v>
      </c>
      <c r="K10" s="181">
        <v>27</v>
      </c>
      <c r="L10" s="181">
        <v>72</v>
      </c>
      <c r="M10" s="181">
        <v>9</v>
      </c>
      <c r="N10" s="181">
        <v>17</v>
      </c>
      <c r="O10" s="181">
        <v>6</v>
      </c>
      <c r="P10" s="181">
        <v>8</v>
      </c>
      <c r="Q10" s="181">
        <v>6</v>
      </c>
      <c r="R10" s="181">
        <v>76</v>
      </c>
      <c r="S10" s="181">
        <v>72</v>
      </c>
      <c r="T10" s="181">
        <v>22</v>
      </c>
      <c r="U10" s="181">
        <v>22</v>
      </c>
      <c r="V10" s="181">
        <v>72</v>
      </c>
      <c r="W10" s="181">
        <v>3</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72</v>
      </c>
      <c r="AZ10" s="129">
        <f t="shared" si="0"/>
        <v>22</v>
      </c>
      <c r="BA10" s="129">
        <f t="shared" si="0"/>
        <v>22</v>
      </c>
      <c r="BB10" s="129">
        <f t="shared" si="0"/>
        <v>72</v>
      </c>
      <c r="BC10" s="125">
        <f t="shared" si="0"/>
        <v>3</v>
      </c>
      <c r="BD10" s="126">
        <f>IF(ISNUMBER(BA10/AZ10),BA10/AZ10," - ")</f>
        <v>1</v>
      </c>
      <c r="BE10" s="127">
        <f>IF(ISNUMBER(BB10/BA10),BB10/BA10, " - ")</f>
        <v>3.2727272727272729</v>
      </c>
      <c r="BF10" s="127">
        <f>IF(ISNUMBER(BC10/BA10),BC10/BA10, " - ")</f>
        <v>0.13636363636363635</v>
      </c>
      <c r="BG10" s="196">
        <f>IF(ISNUMBER((AY10+AZ10)/BA10),(AY10+AZ10)/BA10," - ")</f>
        <v>4.2727272727272725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1021</v>
      </c>
      <c r="J11" s="183">
        <v>620</v>
      </c>
      <c r="K11" s="183">
        <v>578</v>
      </c>
      <c r="L11" s="183">
        <v>1063</v>
      </c>
      <c r="M11" s="183">
        <v>274</v>
      </c>
      <c r="N11" s="183">
        <v>736</v>
      </c>
      <c r="O11" s="181">
        <v>135</v>
      </c>
      <c r="P11" s="183">
        <v>75</v>
      </c>
      <c r="Q11" s="183">
        <v>72</v>
      </c>
      <c r="R11" s="183">
        <v>678</v>
      </c>
      <c r="S11" s="183">
        <v>1419</v>
      </c>
      <c r="T11" s="183">
        <v>656</v>
      </c>
      <c r="U11" s="183">
        <v>625</v>
      </c>
      <c r="V11" s="183">
        <v>1450</v>
      </c>
      <c r="W11" s="183">
        <v>287</v>
      </c>
      <c r="X11" s="189">
        <v>587</v>
      </c>
      <c r="Y11" s="191">
        <v>120</v>
      </c>
      <c r="Z11" s="181">
        <v>470</v>
      </c>
      <c r="AA11" s="181">
        <v>482</v>
      </c>
      <c r="AB11" s="181">
        <v>108</v>
      </c>
      <c r="AC11" s="183">
        <v>0</v>
      </c>
      <c r="AD11" s="183">
        <v>0</v>
      </c>
      <c r="AE11" s="183">
        <v>0</v>
      </c>
      <c r="AF11" s="189">
        <v>0</v>
      </c>
      <c r="AG11" s="202">
        <v>73</v>
      </c>
      <c r="AH11" s="183">
        <v>392</v>
      </c>
      <c r="AI11" s="183">
        <v>362</v>
      </c>
      <c r="AJ11" s="203">
        <v>103</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1492</v>
      </c>
      <c r="AZ11" s="127">
        <f t="shared" si="1"/>
        <v>1048</v>
      </c>
      <c r="BA11" s="127">
        <f t="shared" si="1"/>
        <v>987</v>
      </c>
      <c r="BB11" s="127">
        <f t="shared" si="1"/>
        <v>1553</v>
      </c>
      <c r="BC11" s="125">
        <f>IF(ISNUMBER(X11),X11," - ")</f>
        <v>587</v>
      </c>
      <c r="BD11" s="126">
        <f t="shared" ref="BD11:BD12" si="2">IF(ISNUMBER(BA11/AZ11),BA11/AZ11," - ")</f>
        <v>0.94179389312977102</v>
      </c>
      <c r="BE11" s="127">
        <f t="shared" ref="BE11:BE12" si="3">IF(ISNUMBER(BB11/BA11),BB11/BA11, " - ")</f>
        <v>1.5734549138804459</v>
      </c>
      <c r="BF11" s="127">
        <f t="shared" ref="BF11:BF12" si="4">IF(ISNUMBER(BC11/BA11),BC11/BA11, " - ")</f>
        <v>0.59473150962512666</v>
      </c>
      <c r="BG11" s="196">
        <f t="shared" ref="BG11:BG12" si="5">IF(ISNUMBER((AY11+AZ11)/BA11),(AY11+AZ11)/BA11," - ")</f>
        <v>2.5734549138804459</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15498</v>
      </c>
      <c r="J13" s="184">
        <f t="shared" si="6"/>
        <v>6678</v>
      </c>
      <c r="K13" s="184">
        <f t="shared" si="6"/>
        <v>6624</v>
      </c>
      <c r="L13" s="184">
        <f t="shared" si="6"/>
        <v>14520</v>
      </c>
      <c r="M13" s="184">
        <f t="shared" si="6"/>
        <v>2182</v>
      </c>
      <c r="N13" s="184">
        <f t="shared" si="6"/>
        <v>2817</v>
      </c>
      <c r="O13" s="184">
        <f t="shared" si="6"/>
        <v>2919</v>
      </c>
      <c r="P13" s="184">
        <f t="shared" si="6"/>
        <v>1249</v>
      </c>
      <c r="Q13" s="184">
        <f t="shared" si="6"/>
        <v>873</v>
      </c>
      <c r="R13" s="184">
        <f t="shared" si="6"/>
        <v>17091</v>
      </c>
      <c r="S13" s="184">
        <f t="shared" si="6"/>
        <v>13571</v>
      </c>
      <c r="T13" s="184">
        <f t="shared" si="6"/>
        <v>5637</v>
      </c>
      <c r="U13" s="184">
        <f t="shared" si="6"/>
        <v>5357</v>
      </c>
      <c r="V13" s="184">
        <f t="shared" si="6"/>
        <v>13762</v>
      </c>
      <c r="W13" s="184">
        <f t="shared" si="6"/>
        <v>1793</v>
      </c>
      <c r="X13" s="184">
        <f t="shared" si="6"/>
        <v>2536</v>
      </c>
      <c r="Y13" s="184">
        <f t="shared" si="6"/>
        <v>516</v>
      </c>
      <c r="Z13" s="184">
        <f t="shared" si="6"/>
        <v>679</v>
      </c>
      <c r="AA13" s="184">
        <f t="shared" si="6"/>
        <v>726</v>
      </c>
      <c r="AB13" s="184">
        <f t="shared" si="6"/>
        <v>434</v>
      </c>
      <c r="AC13" s="184">
        <f t="shared" si="6"/>
        <v>0</v>
      </c>
      <c r="AD13" s="184">
        <f t="shared" si="6"/>
        <v>0</v>
      </c>
      <c r="AE13" s="184">
        <f t="shared" si="6"/>
        <v>0</v>
      </c>
      <c r="AF13" s="184">
        <f>SUBTOTAL(9,AF9:AF12)</f>
        <v>0</v>
      </c>
      <c r="AG13" s="184">
        <f t="shared" ref="AG13:AT13" si="7">SUBTOTAL(9,AG8:AG12)</f>
        <v>562</v>
      </c>
      <c r="AH13" s="184">
        <f t="shared" si="7"/>
        <v>646</v>
      </c>
      <c r="AI13" s="184">
        <f t="shared" si="7"/>
        <v>615</v>
      </c>
      <c r="AJ13" s="184">
        <f t="shared" si="7"/>
        <v>593</v>
      </c>
      <c r="AK13" s="184">
        <f t="shared" si="7"/>
        <v>0</v>
      </c>
      <c r="AL13" s="184">
        <f t="shared" si="7"/>
        <v>0</v>
      </c>
      <c r="AM13" s="184">
        <f t="shared" si="7"/>
        <v>0</v>
      </c>
      <c r="AN13" s="184">
        <f t="shared" si="7"/>
        <v>0</v>
      </c>
      <c r="AO13" s="184">
        <f t="shared" si="7"/>
        <v>17</v>
      </c>
      <c r="AP13" s="184">
        <f t="shared" si="7"/>
        <v>17</v>
      </c>
      <c r="AQ13" s="184">
        <f t="shared" si="7"/>
        <v>17</v>
      </c>
      <c r="AR13" s="184">
        <f t="shared" si="7"/>
        <v>17</v>
      </c>
      <c r="AS13" s="184">
        <f t="shared" si="7"/>
        <v>0</v>
      </c>
      <c r="AT13" s="184">
        <f t="shared" si="7"/>
        <v>0</v>
      </c>
      <c r="AU13" s="204"/>
      <c r="AV13" s="132"/>
      <c r="AW13" s="204"/>
      <c r="AX13" s="132"/>
      <c r="AY13" s="184">
        <f>SUBTOTAL(9,AY8:AY12)</f>
        <v>14133</v>
      </c>
      <c r="AZ13" s="184">
        <f>SUBTOTAL(9,AZ8:AZ12)</f>
        <v>6283</v>
      </c>
      <c r="BA13" s="184">
        <f>SUBTOTAL(9,BA8:BA12)</f>
        <v>5972</v>
      </c>
      <c r="BB13" s="184">
        <f>SUBTOTAL(9,BB8:BB12)</f>
        <v>14355</v>
      </c>
      <c r="BC13" s="184">
        <f>SUBTOTAL(9,BC8:BC12)</f>
        <v>2529</v>
      </c>
      <c r="BD13" s="205">
        <f>IF(ISNUMBER(BA13/AZ13),BA13/AZ13," - ")</f>
        <v>0.9505013528569155</v>
      </c>
      <c r="BE13" s="206">
        <f>IF(ISNUMBER(BB13/BA13),BB13/BA13, " - ")</f>
        <v>2.4037173476222371</v>
      </c>
      <c r="BF13" s="206">
        <f>IF(ISNUMBER(BC13/BA13),BC13/BA13, " - ")</f>
        <v>0.42347622237106497</v>
      </c>
      <c r="BG13" s="207">
        <f>IF(ISNUMBER((AY13+AZ13)/BA13),(AY13+AZ13)/BA13," - ")</f>
        <v>3.418620227729404</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2867</v>
      </c>
      <c r="J15" s="183">
        <v>6138</v>
      </c>
      <c r="K15" s="183">
        <v>6349</v>
      </c>
      <c r="L15" s="183">
        <v>2760</v>
      </c>
      <c r="M15" s="183">
        <v>797</v>
      </c>
      <c r="N15" s="183">
        <v>3791</v>
      </c>
      <c r="O15" s="181">
        <v>138</v>
      </c>
      <c r="P15" s="183">
        <v>358</v>
      </c>
      <c r="Q15" s="183">
        <v>415</v>
      </c>
      <c r="R15" s="183">
        <v>667</v>
      </c>
      <c r="S15" s="183">
        <v>3098</v>
      </c>
      <c r="T15" s="183">
        <v>5519</v>
      </c>
      <c r="U15" s="183">
        <v>5731</v>
      </c>
      <c r="V15" s="183">
        <v>2964</v>
      </c>
      <c r="W15" s="183">
        <v>741</v>
      </c>
      <c r="X15" s="189">
        <v>3580</v>
      </c>
      <c r="Y15" s="202">
        <v>0</v>
      </c>
      <c r="Z15" s="183">
        <v>0</v>
      </c>
      <c r="AA15" s="183">
        <v>0</v>
      </c>
      <c r="AB15" s="183">
        <v>0</v>
      </c>
      <c r="AC15" s="183">
        <v>5</v>
      </c>
      <c r="AD15" s="183">
        <v>328</v>
      </c>
      <c r="AE15" s="183">
        <v>331</v>
      </c>
      <c r="AF15" s="189">
        <v>2</v>
      </c>
      <c r="AG15" s="202">
        <v>0</v>
      </c>
      <c r="AH15" s="183">
        <v>0</v>
      </c>
      <c r="AI15" s="183">
        <v>0</v>
      </c>
      <c r="AJ15" s="203">
        <v>0</v>
      </c>
      <c r="AK15" s="182">
        <v>3</v>
      </c>
      <c r="AL15" s="183">
        <v>239</v>
      </c>
      <c r="AM15" s="183">
        <v>232</v>
      </c>
      <c r="AN15" s="189">
        <v>10</v>
      </c>
      <c r="AO15" s="259">
        <v>8</v>
      </c>
      <c r="AP15" s="155">
        <v>8</v>
      </c>
      <c r="AQ15" s="155">
        <v>8</v>
      </c>
      <c r="AR15" s="155">
        <v>8</v>
      </c>
      <c r="AS15" s="340" t="s">
        <v>527</v>
      </c>
      <c r="AT15" s="203" t="s">
        <v>326</v>
      </c>
      <c r="AU15" s="202"/>
      <c r="AV15" s="203"/>
      <c r="AW15" s="202"/>
      <c r="AX15" s="203"/>
      <c r="AY15" s="128">
        <f t="shared" ref="AY15:BB16" si="9">IF(ISNUMBER(IF(D_I="SI",S15,S15+AK15)),IF(D_I="SI",S15,S15+AK15)," - ")</f>
        <v>3098</v>
      </c>
      <c r="AZ15" s="129">
        <f t="shared" si="9"/>
        <v>5519</v>
      </c>
      <c r="BA15" s="129">
        <f t="shared" si="9"/>
        <v>5731</v>
      </c>
      <c r="BB15" s="129">
        <f t="shared" si="9"/>
        <v>2964</v>
      </c>
      <c r="BC15" s="125">
        <f>IF(ISNUMBER(W15),W15," - ")</f>
        <v>741</v>
      </c>
      <c r="BD15" s="126">
        <f>IF(ISNUMBER(BA15/AZ15),BA15/AZ15," - ")</f>
        <v>1.0384127559340459</v>
      </c>
      <c r="BE15" s="127">
        <f>IF(ISNUMBER(BB15/BA15),BB15/BA15, " - ")</f>
        <v>0.51718722735997213</v>
      </c>
      <c r="BF15" s="127">
        <f>IF(ISNUMBER(BC15/BA15),BC15/BA15, " - ")</f>
        <v>0.12929680683999303</v>
      </c>
      <c r="BG15" s="196">
        <f t="shared" ref="BG15:BG16" si="10">IF(ISNUMBER((AY15+AZ15)/BA15),(AY15+AZ15)/BA15," - ")</f>
        <v>1.5035770371662887</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346</v>
      </c>
      <c r="J17" s="183">
        <v>313</v>
      </c>
      <c r="K17" s="183">
        <v>340</v>
      </c>
      <c r="L17" s="183">
        <v>281</v>
      </c>
      <c r="M17" s="183">
        <v>51</v>
      </c>
      <c r="N17" s="183">
        <v>198</v>
      </c>
      <c r="O17" s="183">
        <v>0</v>
      </c>
      <c r="P17" s="183">
        <v>5</v>
      </c>
      <c r="Q17" s="183">
        <v>4</v>
      </c>
      <c r="R17" s="183">
        <v>3</v>
      </c>
      <c r="S17" s="183">
        <v>276</v>
      </c>
      <c r="T17" s="183">
        <v>339</v>
      </c>
      <c r="U17" s="183">
        <v>300</v>
      </c>
      <c r="V17" s="183">
        <v>315</v>
      </c>
      <c r="W17" s="183">
        <v>55</v>
      </c>
      <c r="X17" s="189">
        <v>158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276</v>
      </c>
      <c r="AZ17" s="129">
        <f t="shared" si="14"/>
        <v>339</v>
      </c>
      <c r="BA17" s="129">
        <f t="shared" si="14"/>
        <v>300</v>
      </c>
      <c r="BB17" s="129">
        <f t="shared" si="14"/>
        <v>315</v>
      </c>
      <c r="BC17" s="125">
        <f>IF(ISNUMBER(W17),W17," - ")</f>
        <v>55</v>
      </c>
      <c r="BD17" s="126">
        <f>IF(ISNUMBER(BA17/AZ17),BA17/AZ17," - ")</f>
        <v>0.88495575221238942</v>
      </c>
      <c r="BE17" s="127">
        <f>IF(ISNUMBER(BB17/BA17),BB17/BA17, " - ")</f>
        <v>1.05</v>
      </c>
      <c r="BF17" s="127">
        <f>IF(ISNUMBER(BC17/BA17),BC17/BA17, " - ")</f>
        <v>0.18333333333333332</v>
      </c>
      <c r="BG17" s="196">
        <f>IF(ISNUMBER((AY17+AZ17)/BA17),(AY17+AZ17)/BA17," - ")</f>
        <v>2.0499999999999998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3213</v>
      </c>
      <c r="J18" s="184">
        <f t="shared" si="15"/>
        <v>6451</v>
      </c>
      <c r="K18" s="184">
        <f t="shared" si="15"/>
        <v>6689</v>
      </c>
      <c r="L18" s="184">
        <f t="shared" si="15"/>
        <v>3041</v>
      </c>
      <c r="M18" s="184">
        <f t="shared" si="15"/>
        <v>848</v>
      </c>
      <c r="N18" s="184">
        <f t="shared" si="15"/>
        <v>3989</v>
      </c>
      <c r="O18" s="184">
        <f t="shared" si="15"/>
        <v>138</v>
      </c>
      <c r="P18" s="184">
        <f t="shared" si="15"/>
        <v>363</v>
      </c>
      <c r="Q18" s="184">
        <f t="shared" si="15"/>
        <v>419</v>
      </c>
      <c r="R18" s="184">
        <f t="shared" si="15"/>
        <v>670</v>
      </c>
      <c r="S18" s="184">
        <f t="shared" si="15"/>
        <v>3374</v>
      </c>
      <c r="T18" s="184">
        <f t="shared" si="15"/>
        <v>5858</v>
      </c>
      <c r="U18" s="184">
        <f t="shared" si="15"/>
        <v>6031</v>
      </c>
      <c r="V18" s="184">
        <f t="shared" si="15"/>
        <v>3279</v>
      </c>
      <c r="W18" s="184">
        <f t="shared" si="15"/>
        <v>796</v>
      </c>
      <c r="X18" s="184">
        <f t="shared" si="15"/>
        <v>3738</v>
      </c>
      <c r="Y18" s="184">
        <f t="shared" si="15"/>
        <v>0</v>
      </c>
      <c r="Z18" s="184">
        <f t="shared" si="15"/>
        <v>0</v>
      </c>
      <c r="AA18" s="184">
        <f t="shared" si="15"/>
        <v>0</v>
      </c>
      <c r="AB18" s="184">
        <f t="shared" si="15"/>
        <v>0</v>
      </c>
      <c r="AC18" s="184">
        <f t="shared" si="15"/>
        <v>5</v>
      </c>
      <c r="AD18" s="184">
        <f t="shared" si="15"/>
        <v>328</v>
      </c>
      <c r="AE18" s="184">
        <f t="shared" si="15"/>
        <v>331</v>
      </c>
      <c r="AF18" s="184">
        <f t="shared" si="15"/>
        <v>2</v>
      </c>
      <c r="AG18" s="184">
        <f t="shared" si="15"/>
        <v>0</v>
      </c>
      <c r="AH18" s="184">
        <f t="shared" si="15"/>
        <v>0</v>
      </c>
      <c r="AI18" s="184">
        <f t="shared" si="15"/>
        <v>0</v>
      </c>
      <c r="AJ18" s="184">
        <f t="shared" si="15"/>
        <v>0</v>
      </c>
      <c r="AK18" s="184">
        <f t="shared" si="15"/>
        <v>3</v>
      </c>
      <c r="AL18" s="184">
        <f t="shared" si="15"/>
        <v>239</v>
      </c>
      <c r="AM18" s="184">
        <f t="shared" si="15"/>
        <v>232</v>
      </c>
      <c r="AN18" s="184">
        <f t="shared" si="15"/>
        <v>10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3374</v>
      </c>
      <c r="AZ18" s="184">
        <f>SUBTOTAL(9,AZ14:AZ17)</f>
        <v>5858</v>
      </c>
      <c r="BA18" s="184">
        <f>SUBTOTAL(9,BA14:BA17)</f>
        <v>6031</v>
      </c>
      <c r="BB18" s="184">
        <f>SUBTOTAL(9,BB14:BB17)</f>
        <v>3279</v>
      </c>
      <c r="BC18" s="184">
        <f>SUBTOTAL(9,BC14:BC17)</f>
        <v>796</v>
      </c>
      <c r="BD18" s="205">
        <f>IF(ISNUMBER(BA18/AZ18),BA18/AZ18," - ")</f>
        <v>1.0295322635711848</v>
      </c>
      <c r="BE18" s="206">
        <f>IF(ISNUMBER(BB18/BA18),BB18/BA18, " - ")</f>
        <v>0.54369093019399772</v>
      </c>
      <c r="BF18" s="206">
        <f>IF(ISNUMBER(BC18/BA18),BC18/BA18, " - ")</f>
        <v>0.13198474548167799</v>
      </c>
      <c r="BG18" s="207">
        <f>IF(ISNUMBER((AY18+AZ18)/BA18),(AY18+AZ18)/BA18," - ")</f>
        <v>1.5307577516166473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18711</v>
      </c>
      <c r="J19" s="134">
        <f t="shared" si="18"/>
        <v>13129</v>
      </c>
      <c r="K19" s="134">
        <f t="shared" si="18"/>
        <v>13313</v>
      </c>
      <c r="L19" s="134">
        <f t="shared" si="18"/>
        <v>17561</v>
      </c>
      <c r="M19" s="134">
        <f t="shared" si="18"/>
        <v>3030</v>
      </c>
      <c r="N19" s="134">
        <f t="shared" si="18"/>
        <v>6806</v>
      </c>
      <c r="O19" s="134">
        <f t="shared" si="18"/>
        <v>3057</v>
      </c>
      <c r="P19" s="134">
        <f t="shared" si="18"/>
        <v>1612</v>
      </c>
      <c r="Q19" s="134">
        <f t="shared" si="18"/>
        <v>1292</v>
      </c>
      <c r="R19" s="134">
        <f t="shared" si="18"/>
        <v>17761</v>
      </c>
      <c r="S19" s="134">
        <f t="shared" si="18"/>
        <v>16945</v>
      </c>
      <c r="T19" s="134">
        <f t="shared" si="18"/>
        <v>11495</v>
      </c>
      <c r="U19" s="134">
        <f t="shared" si="18"/>
        <v>11388</v>
      </c>
      <c r="V19" s="134">
        <f t="shared" si="18"/>
        <v>17041</v>
      </c>
      <c r="W19" s="134">
        <f t="shared" si="18"/>
        <v>2589</v>
      </c>
      <c r="X19" s="134">
        <f t="shared" si="18"/>
        <v>6274</v>
      </c>
      <c r="Y19" s="134">
        <f t="shared" si="18"/>
        <v>516</v>
      </c>
      <c r="Z19" s="134">
        <f t="shared" si="18"/>
        <v>679</v>
      </c>
      <c r="AA19" s="134">
        <f t="shared" si="18"/>
        <v>726</v>
      </c>
      <c r="AB19" s="134">
        <f t="shared" si="18"/>
        <v>434</v>
      </c>
      <c r="AC19" s="134">
        <f t="shared" si="18"/>
        <v>5</v>
      </c>
      <c r="AD19" s="134">
        <f t="shared" si="18"/>
        <v>328</v>
      </c>
      <c r="AE19" s="134">
        <f t="shared" si="18"/>
        <v>331</v>
      </c>
      <c r="AF19" s="134">
        <f t="shared" si="18"/>
        <v>2</v>
      </c>
      <c r="AG19" s="134">
        <f t="shared" si="18"/>
        <v>562</v>
      </c>
      <c r="AH19" s="134">
        <f t="shared" si="18"/>
        <v>646</v>
      </c>
      <c r="AI19" s="134">
        <f t="shared" si="18"/>
        <v>615</v>
      </c>
      <c r="AJ19" s="134">
        <f t="shared" si="18"/>
        <v>593</v>
      </c>
      <c r="AK19" s="134">
        <f t="shared" si="18"/>
        <v>3</v>
      </c>
      <c r="AL19" s="134">
        <f t="shared" si="18"/>
        <v>239</v>
      </c>
      <c r="AM19" s="134">
        <f t="shared" si="18"/>
        <v>232</v>
      </c>
      <c r="AN19" s="210">
        <f t="shared" si="18"/>
        <v>10</v>
      </c>
      <c r="AO19" s="211">
        <v>25</v>
      </c>
      <c r="AP19" s="211">
        <v>25</v>
      </c>
      <c r="AQ19" s="211">
        <v>25</v>
      </c>
      <c r="AR19" s="211">
        <v>25</v>
      </c>
      <c r="AS19" s="153">
        <f t="shared" si="18"/>
        <v>0</v>
      </c>
      <c r="AT19" s="153">
        <f t="shared" si="18"/>
        <v>0</v>
      </c>
      <c r="AU19" s="211"/>
      <c r="AV19" s="212"/>
      <c r="AW19" s="211"/>
      <c r="AX19" s="212"/>
      <c r="AY19" s="133">
        <f>SUBTOTAL(9,AY9:AY18)</f>
        <v>17507</v>
      </c>
      <c r="AZ19" s="134">
        <f>SUBTOTAL(9,AZ9:AZ18)</f>
        <v>12141</v>
      </c>
      <c r="BA19" s="134">
        <f>SUBTOTAL(9,BA9:BA18)</f>
        <v>12003</v>
      </c>
      <c r="BB19" s="134">
        <f>SUBTOTAL(9,BB9:BB18)</f>
        <v>17634</v>
      </c>
      <c r="BC19" s="135">
        <f>SUBTOTAL(9,BC9:BC18)</f>
        <v>3325</v>
      </c>
      <c r="BD19" s="213">
        <f>IF(ISNUMBER(BA19/AZ19),BA19/AZ19," - ")</f>
        <v>0.98863355572028666</v>
      </c>
      <c r="BE19" s="210">
        <f>IF(ISNUMBER(BB19/BA19),BB19/BA19, " - ")</f>
        <v>1.4691327168207948</v>
      </c>
      <c r="BF19" s="210">
        <f>IF(ISNUMBER(BC19/BA19),BC19/BA19, " - ")</f>
        <v>0.27701407981338</v>
      </c>
      <c r="BG19" s="135">
        <f>IF(ISNUMBER((AY19+AZ19)/BA19),(AY19+AZ19)/BA19," - ")</f>
        <v>2.470049154378072</v>
      </c>
      <c r="BH19" s="211">
        <f>SUBTOTAL(9,BH9:BH18)</f>
        <v>26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T5WS+DqAheEkFzi/j9EhWQXzQsDyGyaYpqbE44oc8JVqRTW+3V/nmLndpkTuPZsISC3LH/oZibMjRtCINhQA==" saltValue="y5sSwHSQLSWfZhbtCVks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aAcc0x+s08SN8x+pvqZsiO7bgGzvheUY3IEwFU2trjM7kppzBeyMyADEDXebUW8946fUOVPAquG/iEc8sJBPA==" saltValue="FKChDybcJxkpK0+4zUF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209</v>
      </c>
      <c r="O9" s="334"/>
      <c r="P9" s="334"/>
      <c r="Q9" s="226">
        <f>IF(ISNUMBER(Datos!P9),Datos!P9,0)</f>
        <v>1166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795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326</v>
      </c>
      <c r="AI9" s="334" t="str">
        <f>IF(ISNUMBER(Datos!CD9),Datos!CD9,"-")</f>
        <v>-</v>
      </c>
      <c r="AJ9" s="334" t="str">
        <f>IF(ISNUMBER(Datos!EN9),Datos!EN9," - ")</f>
        <v xml:space="preserve"> - </v>
      </c>
      <c r="AK9" s="334"/>
      <c r="AL9" s="479"/>
      <c r="AM9" s="335">
        <f>IF(ISNUMBER(Datos!R9),Datos!R9," - ")</f>
        <v>16337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1899</v>
      </c>
      <c r="BD9" s="229">
        <f>IF(ISNUMBER(Datos!N9),Datos!N9," - ")</f>
        <v>2064</v>
      </c>
      <c r="BE9" s="229" t="str">
        <f>IF(ISNUMBER(Datos!BW9),Datos!BW9," - ")</f>
        <v xml:space="preserve"> - </v>
      </c>
      <c r="BF9" s="228" t="str">
        <f>IF(ISNUMBER(Datos!BX9),Datos!BX9," - ")</f>
        <v xml:space="preserve"> - </v>
      </c>
      <c r="BG9" s="243">
        <f>IF(ISNUMBER(IF(J_V="SI",Datos!K9/Datos!J9,(Datos!K9+Datos!AA9)/(Datos!J9+Datos!Z9))),IF(J_V="SI",Datos!K9/Datos!J9,(Datos!K9+Datos!AA9)/(Datos!J9+Datos!Z9))," - ")</f>
        <v>1.0043296985246952</v>
      </c>
      <c r="BH9" s="260">
        <f>IF(ISNUMBER(((IF(J_V="SI",Datos!L9/Datos!K9,(Datos!L9+Datos!AB9)/(Datos!K9+Datos!AA9)))*11)/factor_trimestre),((IF(J_V="SI",Datos!L9/Datos!K9,(Datos!L9+Datos!AB9)/(Datos!K9+Datos!AA9)))*11)/factor_trimestre," - ")</f>
        <v>6.5676193517483634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2.3236878366528872E-2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68</v>
      </c>
      <c r="G10" s="333">
        <f>IF(ISNUMBER(Datos!I10),Datos!I10," - ")</f>
        <v>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6</v>
      </c>
      <c r="AD10" s="334"/>
      <c r="AE10" s="484"/>
      <c r="AF10" s="332">
        <f>IF(ISNUMBER(Datos!L10),Datos!L10,"-")</f>
        <v>72</v>
      </c>
      <c r="AG10" s="334"/>
      <c r="AH10" s="334"/>
      <c r="AI10" s="334"/>
      <c r="AJ10" s="334"/>
      <c r="AK10" s="334"/>
      <c r="AL10" s="479"/>
      <c r="AM10" s="335">
        <f>IF(ISNUMBER(Datos!R10),Datos!R10," - ")</f>
        <v>76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17</v>
      </c>
      <c r="BE10" s="229" t="str">
        <f>IF(ISNUMBER(Datos!BW10),Datos!BW10," - ")</f>
        <v xml:space="preserve"> - </v>
      </c>
      <c r="BF10" s="228" t="str">
        <f>IF(ISNUMBER(Datos!BX10),Datos!BX10," - ")</f>
        <v xml:space="preserve"> - </v>
      </c>
      <c r="BG10" s="243">
        <f>IF(ISNUMBER(Datos!K10/Datos!J10),Datos!K10/Datos!J10," - ")</f>
        <v>0.87096774193548387</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2.7027027027027029E-2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470</v>
      </c>
      <c r="O11" s="334"/>
      <c r="P11" s="334"/>
      <c r="Q11" s="226">
        <f>IF(ISNUMBER(Datos!P11),Datos!P11,0)</f>
        <v>75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72</v>
      </c>
      <c r="AD11" s="334"/>
      <c r="AE11" s="484"/>
      <c r="AF11" s="332" t="str">
        <f>IF(ISNUMBER(IF(J_V="SI",Datos!L11,Datos!L11+Datos!AB11)-IF(Monitorios="SI",Datos!CD11,0)),
                          IF(J_V="SI",Datos!L11,Datos!L11+Datos!AB11)-IF(Monitorios="SI",Datos!CD11,0),
                          " - ")</f>
        <v xml:space="preserve"> - </v>
      </c>
      <c r="AG11" s="334"/>
      <c r="AH11" s="334">
        <f>IF(ISNUMBER(Datos!AB11),Datos!AB11,"-")</f>
        <v>108</v>
      </c>
      <c r="AI11" s="334"/>
      <c r="AJ11" s="334"/>
      <c r="AK11" s="334"/>
      <c r="AL11" s="479"/>
      <c r="AM11" s="335">
        <f>IF(ISNUMBER(Datos!R11),Datos!R11," - ")</f>
        <v>678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274</v>
      </c>
      <c r="BD11" s="229">
        <f>IF(ISNUMBER(Datos!N11),Datos!N11," - ")</f>
        <v>736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0.97247706422018354</v>
      </c>
      <c r="BH11" s="260">
        <f>IF(ISNUMBER(((IF(J_V="SI",Datos!L11/Datos!K11,(Datos!L11+Datos!AB11)/(Datos!K11+Datos!AA11)))*11)/factor_trimestre),((IF(J_V="SI",Datos!L11/Datos!K11,(Datos!L11+Datos!AB11)/(Datos!K11+Datos!AA11)))*11)/factor_trimestre," - ")</f>
        <v>3.3141509433962266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4.4444444444444444E-3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17</v>
      </c>
      <c r="F13" s="898">
        <f t="shared" si="0"/>
        <v>68</v>
      </c>
      <c r="G13" s="898">
        <f t="shared" si="0"/>
        <v>68</v>
      </c>
      <c r="H13" s="899">
        <f t="shared" si="0"/>
        <v>0</v>
      </c>
      <c r="I13" s="898">
        <f t="shared" si="0"/>
        <v>0</v>
      </c>
      <c r="J13" s="867">
        <f t="shared" si="0"/>
        <v>0</v>
      </c>
      <c r="K13" s="867">
        <f t="shared" si="0"/>
        <v>0</v>
      </c>
      <c r="L13" s="899">
        <f t="shared" si="0"/>
        <v>0</v>
      </c>
      <c r="M13" s="899">
        <f t="shared" si="0"/>
        <v>0</v>
      </c>
      <c r="N13" s="899">
        <f t="shared" si="0"/>
        <v>679</v>
      </c>
      <c r="O13" s="900">
        <f t="shared" si="0"/>
        <v>0</v>
      </c>
      <c r="P13" s="900">
        <f t="shared" si="0"/>
        <v>0</v>
      </c>
      <c r="Q13" s="899">
        <f t="shared" si="0"/>
        <v>1249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873</v>
      </c>
      <c r="AD13" s="899">
        <f t="shared" si="1"/>
        <v>0</v>
      </c>
      <c r="AE13" s="899">
        <f t="shared" si="1"/>
        <v>0</v>
      </c>
      <c r="AF13" s="899">
        <f t="shared" si="1"/>
        <v>72</v>
      </c>
      <c r="AG13" s="899">
        <f t="shared" si="1"/>
        <v>0</v>
      </c>
      <c r="AH13" s="899">
        <f t="shared" si="1"/>
        <v>434</v>
      </c>
      <c r="AI13" s="899">
        <f t="shared" si="1"/>
        <v>0</v>
      </c>
      <c r="AJ13" s="899">
        <f t="shared" si="1"/>
        <v>0</v>
      </c>
      <c r="AK13" s="899">
        <f t="shared" si="1"/>
        <v>0</v>
      </c>
      <c r="AL13" s="899">
        <f t="shared" si="1"/>
        <v>0</v>
      </c>
      <c r="AM13" s="899">
        <f t="shared" si="1"/>
        <v>17091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2182</v>
      </c>
      <c r="BD13" s="899">
        <f t="shared" si="1"/>
        <v>2817</v>
      </c>
      <c r="BE13" s="899">
        <f t="shared" si="1"/>
        <v>0</v>
      </c>
      <c r="BF13" s="899">
        <f t="shared" si="1"/>
        <v>0</v>
      </c>
      <c r="BG13" s="899">
        <f>IF(ISNUMBER(Datos!K13/Datos!J13),Datos!K13/Datos!J13," - ")</f>
        <v>0.99191374663072773</v>
      </c>
      <c r="BH13" s="903">
        <f>IF(ISNUMBER(((Datos!L13/Datos!K13)*11)/factor_trimestre),((Datos!L13/Datos!K13)*11)/factor_trimestre," - ")</f>
        <v>6.5760869565217392</v>
      </c>
      <c r="BI13" s="899">
        <f>IF(ISNUMBER('Resol  Asuntos'!D13/NºAsuntos!G13),'Resol  Asuntos'!D13/NºAsuntos!G13," - ")</f>
        <v>0.29687074829931975</v>
      </c>
      <c r="BJ13" s="899" t="str">
        <f>IF(ISNUMBER(Datos!CI13/Datos!CJ13),Datos!CI13/Datos!CJ13," - ")</f>
        <v xml:space="preserve"> - </v>
      </c>
      <c r="BK13" s="899">
        <f>SUBTOTAL(9,BK8:BK12)</f>
        <v>0</v>
      </c>
      <c r="BL13" s="899">
        <f>IF(ISNUMBER((I13-AB13+L13)/(F13)),(I13-AB13+L13)/(F13)," - ")</f>
        <v>-0.39705882352941174</v>
      </c>
      <c r="BM13" s="904">
        <f>SUBTOTAL(9,BM9:BM12)</f>
        <v>5.4708349838000346E-2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2971</v>
      </c>
      <c r="G15" s="598">
        <f>IF(ISNUMBER(IF(D_I="SI",Datos!I15,Datos!I15+Datos!AC15)),IF(D_I="SI",Datos!I15,Datos!I15+Datos!AC15)," - ")</f>
        <v>2867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358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6349</v>
      </c>
      <c r="AC15" s="226">
        <f>IF(ISNUMBER(Datos!Q15),Datos!Q15," - ")</f>
        <v>415</v>
      </c>
      <c r="AD15" s="334"/>
      <c r="AE15" s="484"/>
      <c r="AF15" s="596">
        <f>IF(ISNUMBER(IF(D_I="SI",Datos!L15,Datos!L15+Datos!AF15)),IF(D_I="SI",Datos!L15,Datos!L15+Datos!AF15)," - ")</f>
        <v>2760</v>
      </c>
      <c r="AG15" s="334"/>
      <c r="AH15" s="334"/>
      <c r="AI15" s="334"/>
      <c r="AJ15" s="334"/>
      <c r="AK15" s="334"/>
      <c r="AL15" s="479"/>
      <c r="AM15" s="335">
        <f>IF(ISNUMBER(Datos!R15),Datos!R15," - ")</f>
        <v>667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797</v>
      </c>
      <c r="BD15" s="229">
        <f>IF(ISNUMBER(Datos!N15),Datos!N15," - ")</f>
        <v>3791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1.0343760182469859</v>
      </c>
      <c r="BH15" s="260">
        <f>IF(ISNUMBER(((IF(D_I="SI",Datos!L15/Datos!K15,(Datos!L15+Datos!AF15)/(Datos!K15+Datos!AE15)))*11)/factor_trimestre),((IF(D_I="SI",Datos!L15/Datos!K15,(Datos!L15+Datos!AF15)/(Datos!K15+Datos!AE15)))*11)/factor_trimestre," - ")</f>
        <v>1.3041423846275004</v>
      </c>
      <c r="BI15" s="243">
        <f>IF(ISNUMBER('Resol  Asuntos'!D15/NºAsuntos!G15),'Resol  Asuntos'!D15/NºAsuntos!G15," - ")</f>
        <v>0.12553157977634274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340</v>
      </c>
      <c r="AC17" s="226">
        <f>IF(ISNUMBER(Datos!Q17),Datos!Q17," - ")</f>
        <v>4</v>
      </c>
      <c r="AD17" s="334"/>
      <c r="AE17" s="484"/>
      <c r="AF17" s="332">
        <f>IF(ISNUMBER(Datos!L17),Datos!L17,"-")</f>
        <v>281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51</v>
      </c>
      <c r="BD17" s="229">
        <f>IF(ISNUMBER(Datos!N17),Datos!N17," - ")</f>
        <v>198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1.0862619808306708</v>
      </c>
      <c r="BH17" s="260">
        <f>IF(ISNUMBER(((IF(D_I="SI",Datos!L17/Datos!K17,(Datos!L17+Datos!AF17)/(Datos!K17+Datos!AE17)))*11)/factor_trimestre),((IF(D_I="SI",Datos!L17/Datos!K17,(Datos!L17+Datos!AF17)/(Datos!K17+Datos!AE17)))*11)/factor_trimestre," - ")</f>
        <v>2.479411764705882</v>
      </c>
      <c r="BI17" s="243">
        <f>IF(ISNUMBER('Resol  Asuntos'!D17/NºAsuntos!G17),'Resol  Asuntos'!D17/NºAsuntos!G17," - ")</f>
        <v>0.15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2971</v>
      </c>
      <c r="G18" s="898">
        <f>SUBTOTAL(9,G15:G17)</f>
        <v>3213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6689</v>
      </c>
      <c r="AC18" s="899">
        <f t="shared" si="4"/>
        <v>419</v>
      </c>
      <c r="AD18" s="899">
        <f t="shared" si="4"/>
        <v>0</v>
      </c>
      <c r="AE18" s="899">
        <f t="shared" si="4"/>
        <v>0</v>
      </c>
      <c r="AF18" s="899">
        <f t="shared" si="4"/>
        <v>3041</v>
      </c>
      <c r="AG18" s="899">
        <f t="shared" si="4"/>
        <v>0</v>
      </c>
      <c r="AH18" s="899">
        <f t="shared" si="4"/>
        <v>0</v>
      </c>
      <c r="AI18" s="899">
        <f t="shared" si="4"/>
        <v>0</v>
      </c>
      <c r="AJ18" s="899">
        <f t="shared" si="4"/>
        <v>0</v>
      </c>
      <c r="AK18" s="899">
        <f t="shared" si="4"/>
        <v>0</v>
      </c>
      <c r="AL18" s="899">
        <f t="shared" si="4"/>
        <v>0</v>
      </c>
      <c r="AM18" s="899">
        <f t="shared" si="4"/>
        <v>670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848</v>
      </c>
      <c r="BD18" s="899">
        <f t="shared" si="4"/>
        <v>3989</v>
      </c>
      <c r="BE18" s="899">
        <f t="shared" si="4"/>
        <v>0</v>
      </c>
      <c r="BF18" s="899">
        <f t="shared" si="4"/>
        <v>0</v>
      </c>
      <c r="BG18" s="899">
        <f>IF(ISNUMBER(Datos!K18/Datos!J18),Datos!K18/Datos!J18," - ")</f>
        <v>1.0368935048829639</v>
      </c>
      <c r="BH18" s="903">
        <f>IF(ISNUMBER(((Datos!L18/Datos!K18)*11)/factor_trimestre),((Datos!L18/Datos!K18)*11)/factor_trimestre," - ")</f>
        <v>1.3638809986545075</v>
      </c>
      <c r="BI18" s="899">
        <f>SUBTOTAL(9,BI15:BI17)</f>
        <v>0.27553157977634274</v>
      </c>
      <c r="BJ18" s="899">
        <f>SUBTOTAL(9,BJ15:BJ17)</f>
        <v>0</v>
      </c>
      <c r="BK18" s="899">
        <f>SUBTOTAL(9,BK15:BK17)</f>
        <v>0</v>
      </c>
      <c r="BL18" s="899">
        <f>IF(ISNUMBER((I18-AB18+L18)/(F18)),(I18-AB18+L18)/(F18)," - ")</f>
        <v>-2.2514304947829014</v>
      </c>
      <c r="BM18" s="905">
        <f>IF(ISNUMBER((Datos!P18-Datos!Q18)/(Datos!R18-Datos!P18+Datos!Q18)),(Datos!P18-Datos!Q18)/(Datos!R18-Datos!P18+Datos!Q18)," - ")</f>
        <v>-7.7134986225895319E-2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26</v>
      </c>
      <c r="F19" s="820">
        <f t="shared" si="6"/>
        <v>3039</v>
      </c>
      <c r="G19" s="820">
        <f t="shared" si="6"/>
        <v>3281</v>
      </c>
      <c r="H19" s="822">
        <f t="shared" si="6"/>
        <v>0</v>
      </c>
      <c r="I19" s="820">
        <f t="shared" si="6"/>
        <v>0</v>
      </c>
      <c r="J19" s="822">
        <f t="shared" si="6"/>
        <v>0</v>
      </c>
      <c r="K19" s="822">
        <f t="shared" si="6"/>
        <v>0</v>
      </c>
      <c r="L19" s="881">
        <f t="shared" si="6"/>
        <v>0</v>
      </c>
      <c r="M19" s="881">
        <f t="shared" si="6"/>
        <v>0</v>
      </c>
      <c r="N19" s="881">
        <f t="shared" si="6"/>
        <v>679</v>
      </c>
      <c r="O19" s="881">
        <f t="shared" si="6"/>
        <v>0</v>
      </c>
      <c r="P19" s="881">
        <f t="shared" si="6"/>
        <v>0</v>
      </c>
      <c r="Q19" s="822">
        <f t="shared" si="6"/>
        <v>1612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6716</v>
      </c>
      <c r="AC19" s="821">
        <f t="shared" si="7"/>
        <v>1292</v>
      </c>
      <c r="AD19" s="821">
        <f t="shared" si="7"/>
        <v>0</v>
      </c>
      <c r="AE19" s="821">
        <f t="shared" si="7"/>
        <v>0</v>
      </c>
      <c r="AF19" s="828">
        <f t="shared" si="7"/>
        <v>3113</v>
      </c>
      <c r="AG19" s="828">
        <f t="shared" si="7"/>
        <v>0</v>
      </c>
      <c r="AH19" s="828">
        <f t="shared" si="7"/>
        <v>434</v>
      </c>
      <c r="AI19" s="828">
        <f t="shared" si="7"/>
        <v>0</v>
      </c>
      <c r="AJ19" s="821">
        <f t="shared" si="7"/>
        <v>0</v>
      </c>
      <c r="AK19" s="828">
        <f t="shared" si="7"/>
        <v>0</v>
      </c>
      <c r="AL19" s="828">
        <f t="shared" si="7"/>
        <v>0</v>
      </c>
      <c r="AM19" s="828">
        <f t="shared" si="7"/>
        <v>17761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3030</v>
      </c>
      <c r="BD19" s="820">
        <f t="shared" si="7"/>
        <v>6806</v>
      </c>
      <c r="BE19" s="820">
        <f t="shared" si="7"/>
        <v>0</v>
      </c>
      <c r="BF19" s="830">
        <f t="shared" si="7"/>
        <v>0</v>
      </c>
      <c r="BG19" s="915">
        <f>IF(ISNUMBER(Datos!K19/Datos!J19),Datos!K19/Datos!J19," - ")</f>
        <v>1.0140147764490821</v>
      </c>
      <c r="BH19" s="915">
        <f>IF(ISNUMBER(((Datos!L19/Datos!K19)*11)/factor_trimestre),((Datos!L19/Datos!K19)*11)/factor_trimestre," - ")</f>
        <v>3.9572598212273715</v>
      </c>
      <c r="BI19" s="813">
        <f>IF(ISNUMBER(Datos!J19/Datos!I19),Datos!J19/Datos!I19," - ")</f>
        <v>0.7016728127839239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-2.2099374794340245</v>
      </c>
      <c r="BM19" s="889">
        <f>IF(ISNUMBER((Datos!P19-Datos!Q19+R19)/(Datos!R19-Datos!P19+Datos!Q19-R19)),(Datos!P19-Datos!Q19+R19)/(Datos!R19-Datos!P19+Datos!Q19-R19)," - ")</f>
        <v>1.8347571813542803E-2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1676.0478314574837</v>
      </c>
      <c r="G21" s="552">
        <f>IF(ISNUMBER(STDEV(G8:G18)),STDEV(G8:G18),"-")</f>
        <v>1585.8793459781232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3503.0649151849871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871.12641912367576</v>
      </c>
      <c r="BD21" s="551"/>
      <c r="BE21" s="551">
        <f>IF(ISNUMBER(STDEV(BE8:BE18)),STDEV(BE8:BE18),"-")</f>
        <v>0</v>
      </c>
      <c r="BF21" s="556">
        <f>IF(ISNUMBER(STDEV(BF8:BF18)),STDEV(BF8:BF18),"-")</f>
        <v>0</v>
      </c>
      <c r="BG21" s="775">
        <f>IF(ISNUMBER(STDEV(BG8:BG18)),STDEV(BG8:BG18),"-")</f>
        <v>6.7668106490916896E-2</v>
      </c>
      <c r="BH21" s="776">
        <f>IF(ISNUMBER(STDEV(BH8:BH18)),STDEV(BH8:BH18),"-")</f>
        <v>2.7646610598359755</v>
      </c>
      <c r="BI21" s="249">
        <f>IF(ISNUMBER(STDEV(BI8:BI18)),STDEV(BI8:BI18),"-")</f>
        <v>8.6718110660723227E-2</v>
      </c>
      <c r="BJ21" s="230" t="str">
        <f>IF(ISNUMBER(BL21/BM21),BL21/BM21," - ")</f>
        <v xml:space="preserve"> - </v>
      </c>
      <c r="BK21" s="575"/>
      <c r="BL21" s="559">
        <f>IF(ISNUMBER(STDEV(BL8:BL18)),STDEV(BL8:BL18),"-")</f>
        <v>1.3112387835835737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kYZ5dhlkAAogQTCj+So3I7KaRgYVUDVEg+4jUAhJRzq5LCgvofcyFrVuy0Hd6x/o5ENq8bUINxGduBxetOcw==" saltValue="taFChWIfdEZUbfBB9tB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1166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795</v>
      </c>
      <c r="AA9" s="332" t="str">
        <f>IF(ISNUMBER(IF(J_V="SI",Datos!L9,Datos!L9+Datos!AB9)-IF(Monitorios="SI",Datos!CD9,0)),
                          IF(J_V="SI",Datos!L9,Datos!L9+Datos!AB9)-IF(Monitorios="SI",Datos!CD9,0),
                          " - ")</f>
        <v xml:space="preserve"> - </v>
      </c>
      <c r="AB9" s="334"/>
      <c r="AC9" s="334"/>
      <c r="AD9" s="484"/>
      <c r="AE9" s="484">
        <f>IF(ISNUMBER(Datos!R9),Datos!R9," - ")</f>
        <v>16337</v>
      </c>
      <c r="AF9" s="229" t="str">
        <f>IF(ISNUMBER(Datos!BV9),Datos!BV9," - ")</f>
        <v xml:space="preserve"> - </v>
      </c>
      <c r="AG9" s="225" t="str">
        <f>IF(ISNUMBER(Datos!DV9),Datos!DV9," - ")</f>
        <v xml:space="preserve"> - </v>
      </c>
      <c r="AH9" s="298"/>
      <c r="AI9" s="227"/>
      <c r="AJ9" s="225">
        <f>IF(ISNUMBER(Datos!M9),Datos!M9," - ")</f>
        <v>1899</v>
      </c>
      <c r="AK9" s="229">
        <f>IF(ISNUMBER(Datos!N9),Datos!N9," - ")</f>
        <v>2064</v>
      </c>
      <c r="AL9" s="229" t="str">
        <f>IF(ISNUMBER(Datos!BW9),Datos!BW9," - ")</f>
        <v xml:space="preserve"> - </v>
      </c>
      <c r="AM9" s="228" t="str">
        <f>IF(ISNUMBER(Datos!BX9),Datos!BX9," - ")</f>
        <v xml:space="preserve"> - </v>
      </c>
      <c r="AN9" s="243"/>
      <c r="AO9" s="260">
        <f>IF(ISNUMBER(((NºAsuntos!I9/NºAsuntos!G9)*11)/factor_trimestre),((NºAsuntos!I9/NºAsuntos!G9)*11)/factor_trimestre," - ")</f>
        <v>6.5676193517483634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2.3236878366528872E-2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68</v>
      </c>
      <c r="G10" s="225">
        <f>IF(ISNUMBER(Datos!I10),Datos!I10," - ")</f>
        <v>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6</v>
      </c>
      <c r="AA10" s="332">
        <f>IF(ISNUMBER(Datos!L10),Datos!L10,"-")</f>
        <v>72</v>
      </c>
      <c r="AB10" s="334"/>
      <c r="AC10" s="334"/>
      <c r="AD10" s="484"/>
      <c r="AE10" s="484">
        <f>IF(ISNUMBER(Datos!R10),Datos!R10," - ")</f>
        <v>76</v>
      </c>
      <c r="AF10" s="229" t="str">
        <f>IF(ISNUMBER(Datos!BV10),Datos!BV10," - ")</f>
        <v xml:space="preserve"> - </v>
      </c>
      <c r="AG10" s="225" t="str">
        <f>IF(ISNUMBER(Datos!DV10),Datos!DV10," - ")</f>
        <v xml:space="preserve"> - </v>
      </c>
      <c r="AH10" s="298"/>
      <c r="AI10" s="227"/>
      <c r="AJ10" s="225">
        <f>IF(ISNUMBER(Datos!M10),Datos!M10," - ")</f>
        <v>9</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2.7027027027027029E-2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72</v>
      </c>
      <c r="AA11" s="332" t="str">
        <f>IF(ISNUMBER(IF(J_V="SI",Datos!L11,Datos!L11+Datos!AB11)-IF(Monitorios="SI",Datos!CD11,0)),
                          IF(J_V="SI",Datos!L11,Datos!L11+Datos!AB11)-IF(Monitorios="SI",Datos!CD11,0),
                          " - ")</f>
        <v xml:space="preserve"> - </v>
      </c>
      <c r="AB11" s="334"/>
      <c r="AC11" s="334"/>
      <c r="AD11" s="484"/>
      <c r="AE11" s="484">
        <f>IF(ISNUMBER(Datos!R11),Datos!R11," - ")</f>
        <v>678</v>
      </c>
      <c r="AF11" s="229" t="str">
        <f>IF(ISNUMBER(Datos!BV11),Datos!BV11," - ")</f>
        <v xml:space="preserve"> - </v>
      </c>
      <c r="AG11" s="225" t="str">
        <f>IF(ISNUMBER(Datos!DV11),Datos!DV11," - ")</f>
        <v xml:space="preserve"> - </v>
      </c>
      <c r="AH11" s="298"/>
      <c r="AI11" s="227"/>
      <c r="AJ11" s="225">
        <f>IF(ISNUMBER(Datos!M11),Datos!M11," - ")</f>
        <v>274</v>
      </c>
      <c r="AK11" s="229">
        <f>IF(ISNUMBER(Datos!N11),Datos!N11," - ")</f>
        <v>736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3.3141509433962266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4.4444444444444444E-3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17</v>
      </c>
      <c r="F13" s="898">
        <f>SUBTOTAL(9,F8:F12)</f>
        <v>68</v>
      </c>
      <c r="G13" s="898">
        <f>SUBTOTAL(9,G8:G12)</f>
        <v>68</v>
      </c>
      <c r="H13" s="908"/>
      <c r="I13" s="898">
        <f t="shared" ref="I13:N13" si="0">SUBTOTAL(9,I8:I12)</f>
        <v>0</v>
      </c>
      <c r="J13" s="867">
        <f t="shared" si="0"/>
        <v>0</v>
      </c>
      <c r="K13" s="908">
        <f t="shared" si="0"/>
        <v>0</v>
      </c>
      <c r="L13" s="908">
        <f t="shared" si="0"/>
        <v>0</v>
      </c>
      <c r="M13" s="908">
        <f t="shared" si="0"/>
        <v>0</v>
      </c>
      <c r="N13" s="908">
        <f t="shared" si="0"/>
        <v>1249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873</v>
      </c>
      <c r="AA13" s="900">
        <f t="shared" si="2"/>
        <v>72</v>
      </c>
      <c r="AB13" s="900">
        <f t="shared" si="2"/>
        <v>0</v>
      </c>
      <c r="AC13" s="900">
        <f t="shared" si="2"/>
        <v>0</v>
      </c>
      <c r="AD13" s="900">
        <f t="shared" si="2"/>
        <v>0</v>
      </c>
      <c r="AE13" s="900">
        <f t="shared" si="2"/>
        <v>17091</v>
      </c>
      <c r="AF13" s="908">
        <f t="shared" si="2"/>
        <v>0</v>
      </c>
      <c r="AG13" s="908">
        <f t="shared" si="2"/>
        <v>0</v>
      </c>
      <c r="AH13" s="908">
        <f t="shared" si="2"/>
        <v>0</v>
      </c>
      <c r="AI13" s="908">
        <f t="shared" si="2"/>
        <v>0</v>
      </c>
      <c r="AJ13" s="908">
        <f t="shared" si="2"/>
        <v>2182</v>
      </c>
      <c r="AK13" s="908">
        <f t="shared" si="2"/>
        <v>2817</v>
      </c>
      <c r="AL13" s="908">
        <f t="shared" si="2"/>
        <v>0</v>
      </c>
      <c r="AM13" s="908">
        <f t="shared" si="2"/>
        <v>0</v>
      </c>
      <c r="AN13" s="908">
        <f t="shared" si="2"/>
        <v>0</v>
      </c>
      <c r="AO13" s="904">
        <f>IF(ISNUMBER(((NºAsuntos!I13/NºAsuntos!G13)*11)/factor_trimestre),((NºAsuntos!I13/NºAsuntos!G13)*11)/factor_trimestre," - ")</f>
        <v>6.103673469387755</v>
      </c>
      <c r="AP13" s="910" t="str">
        <f>IF(ISNUMBER(Datos!CI13/Datos!CJ13),Datos!CI13/Datos!CJ13," - ")</f>
        <v xml:space="preserve"> - </v>
      </c>
      <c r="AQ13" s="928">
        <f t="shared" ref="AQ13:AV13" si="3">SUBTOTAL(9,AQ9:AQ12)</f>
        <v>0</v>
      </c>
      <c r="AR13" s="928">
        <f t="shared" si="3"/>
        <v>5.4708349838000346E-2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2971</v>
      </c>
      <c r="G15" s="225">
        <f>IF(ISNUMBER(IF(D_I="SI",Datos!I15,Datos!I15+Datos!AC15)),IF(D_I="SI",Datos!I15,Datos!I15+Datos!AC15)," - ")</f>
        <v>2867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358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6349</v>
      </c>
      <c r="Z15" s="619">
        <f>IF(ISNUMBER(Datos!Q15),Datos!Q15," - ")</f>
        <v>415</v>
      </c>
      <c r="AA15" s="332">
        <f>IF(ISNUMBER(IF(D_I="SI",Datos!L15,Datos!L15+Datos!AF15)),IF(D_I="SI",Datos!L15,Datos!L15+Datos!AF15)," - ")</f>
        <v>2760</v>
      </c>
      <c r="AB15" s="334"/>
      <c r="AC15" s="334"/>
      <c r="AD15" s="484"/>
      <c r="AE15" s="484">
        <f>IF(ISNUMBER(Datos!R15),Datos!R15," - ")</f>
        <v>667</v>
      </c>
      <c r="AF15" s="229" t="str">
        <f>IF(ISNUMBER(Datos!BV15),Datos!BV15," - ")</f>
        <v xml:space="preserve"> - </v>
      </c>
      <c r="AG15" s="225"/>
      <c r="AH15" s="298"/>
      <c r="AI15" s="227"/>
      <c r="AJ15" s="225">
        <f>IF(ISNUMBER(Datos!M15),Datos!M15," - ")</f>
        <v>797</v>
      </c>
      <c r="AK15" s="229">
        <f>IF(ISNUMBER(Datos!N15),Datos!N15," - ")</f>
        <v>3791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1.3041423846275004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340</v>
      </c>
      <c r="Z17" s="619">
        <f>IF(ISNUMBER(Datos!Q17),Datos!Q17," - ")</f>
        <v>4</v>
      </c>
      <c r="AA17" s="332">
        <f>IF(ISNUMBER(Datos!L17),Datos!L17,"-")</f>
        <v>281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51</v>
      </c>
      <c r="AK17" s="229">
        <f>IF(ISNUMBER(Datos!N17),Datos!N17," - ")</f>
        <v>198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2.479411764705882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2971</v>
      </c>
      <c r="G18" s="898">
        <f>SUBTOTAL(9,G15:G17)</f>
        <v>3213</v>
      </c>
      <c r="H18" s="932">
        <f>SUBTOTAL(9,H15:H17)</f>
        <v>0</v>
      </c>
      <c r="I18" s="911">
        <f>SUBTOTAL(9,I15:I17)</f>
        <v>0</v>
      </c>
      <c r="J18" s="867">
        <f>SUBTOTAL(9,J14:J17)</f>
        <v>0</v>
      </c>
      <c r="K18" s="932">
        <f t="shared" ref="K18:S18" si="4">SUBTOTAL(9,K15:K17)</f>
        <v>0</v>
      </c>
      <c r="L18" s="932">
        <f t="shared" si="4"/>
        <v>0</v>
      </c>
      <c r="M18" s="932">
        <f t="shared" si="4"/>
        <v>0</v>
      </c>
      <c r="N18" s="932">
        <f t="shared" si="4"/>
        <v>363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6689</v>
      </c>
      <c r="Z18" s="932">
        <f t="shared" si="5"/>
        <v>419</v>
      </c>
      <c r="AA18" s="932">
        <f t="shared" si="5"/>
        <v>3041</v>
      </c>
      <c r="AB18" s="932">
        <f t="shared" si="5"/>
        <v>0</v>
      </c>
      <c r="AC18" s="932">
        <f t="shared" si="5"/>
        <v>0</v>
      </c>
      <c r="AD18" s="932">
        <f t="shared" si="5"/>
        <v>0</v>
      </c>
      <c r="AE18" s="932">
        <f t="shared" si="5"/>
        <v>670</v>
      </c>
      <c r="AF18" s="932">
        <f t="shared" si="5"/>
        <v>0</v>
      </c>
      <c r="AG18" s="932">
        <f t="shared" si="5"/>
        <v>0</v>
      </c>
      <c r="AH18" s="932">
        <f t="shared" si="5"/>
        <v>0</v>
      </c>
      <c r="AI18" s="932">
        <f t="shared" si="5"/>
        <v>0</v>
      </c>
      <c r="AJ18" s="932">
        <f t="shared" si="5"/>
        <v>848</v>
      </c>
      <c r="AK18" s="932">
        <f t="shared" si="5"/>
        <v>3989</v>
      </c>
      <c r="AL18" s="932">
        <f t="shared" si="5"/>
        <v>0</v>
      </c>
      <c r="AM18" s="932">
        <f t="shared" si="5"/>
        <v>0</v>
      </c>
      <c r="AN18" s="932">
        <f t="shared" si="5"/>
        <v>0</v>
      </c>
      <c r="AO18" s="934">
        <f>IF(ISNUMBER(((NºAsuntos!I18/NºAsuntos!G18)*11)/factor_trimestre),((NºAsuntos!I18/NºAsuntos!G18)*11)/factor_trimestre," - ")</f>
        <v>1.3638809986545075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3039</v>
      </c>
      <c r="G19" s="820">
        <f t="shared" si="7"/>
        <v>3281</v>
      </c>
      <c r="H19" s="821">
        <f t="shared" si="7"/>
        <v>0</v>
      </c>
      <c r="I19" s="820">
        <f t="shared" si="7"/>
        <v>0</v>
      </c>
      <c r="J19" s="822">
        <f t="shared" si="7"/>
        <v>0</v>
      </c>
      <c r="K19" s="820">
        <f t="shared" si="7"/>
        <v>0</v>
      </c>
      <c r="L19" s="823">
        <f t="shared" si="7"/>
        <v>0</v>
      </c>
      <c r="M19" s="820">
        <f t="shared" si="7"/>
        <v>0</v>
      </c>
      <c r="N19" s="821">
        <f t="shared" si="7"/>
        <v>1612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6716</v>
      </c>
      <c r="Z19" s="827">
        <f t="shared" si="8"/>
        <v>1292</v>
      </c>
      <c r="AA19" s="828">
        <f t="shared" si="8"/>
        <v>3113</v>
      </c>
      <c r="AB19" s="828">
        <f t="shared" si="8"/>
        <v>0</v>
      </c>
      <c r="AC19" s="828">
        <f t="shared" si="8"/>
        <v>0</v>
      </c>
      <c r="AD19" s="829">
        <f t="shared" si="8"/>
        <v>0</v>
      </c>
      <c r="AE19" s="829">
        <f t="shared" si="8"/>
        <v>17761</v>
      </c>
      <c r="AF19" s="830">
        <f t="shared" si="8"/>
        <v>0</v>
      </c>
      <c r="AG19" s="831">
        <f t="shared" si="8"/>
        <v>0</v>
      </c>
      <c r="AH19" s="832">
        <f t="shared" si="8"/>
        <v>0</v>
      </c>
      <c r="AI19" s="830">
        <f t="shared" si="8"/>
        <v>0</v>
      </c>
      <c r="AJ19" s="820">
        <f t="shared" si="8"/>
        <v>3030</v>
      </c>
      <c r="AK19" s="820">
        <f t="shared" si="8"/>
        <v>6806</v>
      </c>
      <c r="AL19" s="820">
        <f t="shared" si="8"/>
        <v>0</v>
      </c>
      <c r="AM19" s="833">
        <f t="shared" si="8"/>
        <v>0</v>
      </c>
      <c r="AN19" s="823">
        <f>IF(ISNUMBER(Datos!K19/Datos!J19),Datos!K19/Datos!J19," - ")</f>
        <v>1.0140147764490821</v>
      </c>
      <c r="AO19" s="823">
        <f>IF(ISNUMBER(FIND("06",Criterios!A8,1)),(IF(ISNUMBER(((Datos!R19/Datos!Q19)*11)/factor_trimestre),((Datos!R19/Datos!Q19)*11)/factor_trimestre," - ")),(IF(ISNUMBER(((Datos!L19/Datos!K19)*11)/factor_trimestre),((Datos!L19/Datos!K19)*11)/factor_trimestre," - ")))</f>
        <v>3.9572598212273715</v>
      </c>
      <c r="AP19" s="834" t="str">
        <f>IF(ISNUMBER(Datos!CI19/Datos!CJ19),Datos!CI19/Datos!CJ19," - ")</f>
        <v xml:space="preserve"> - </v>
      </c>
      <c r="AQ19" s="834">
        <f>IF(OR(ISNUMBER(FIND("01",Criterios!A8,1)),ISNUMBER(FIND("02",Criterios!A8,1)),ISNUMBER(FIND("03",Criterios!A8,1)),ISNUMBER(FIND("04",Criterios!A8,1))),(J19-Y19+K19)/(F19-K19),(I19-Y19+K19)/(F19-K19))</f>
        <v>-2.2099374794340245</v>
      </c>
      <c r="AR19" s="834">
        <f>IF(ISNUMBER((Datos!P19-Datos!Q19+O19)/(Datos!R19-Datos!P19+Datos!Q19-O19)),(Datos!P19-Datos!Q19+O19)/(Datos!R19-Datos!P19+Datos!Q19-O19)," - ")</f>
        <v>1.8347571813542803E-2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1676.0478314574837</v>
      </c>
      <c r="G21" s="552">
        <f>IF(ISNUMBER(STDEV(G8:G18)),STDEV(G8:G18),"-")</f>
        <v>1585.8793459781232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871.12641912367576</v>
      </c>
      <c r="AK21" s="252"/>
      <c r="AL21" s="252">
        <f>IF(ISNUMBER(STDEV(AL8:AL18)),STDEV(AL8:AL18),"-")</f>
        <v>0</v>
      </c>
      <c r="AM21" s="254">
        <f>IF(ISNUMBER(STDEV(AM8:AM18)),STDEV(AM8:AM18),"-")</f>
        <v>0</v>
      </c>
      <c r="AN21" s="539">
        <f>IF(ISNUMBER(STDEV(AN8:AN18)),STDEV(AN8:AN18),"-")</f>
        <v>0</v>
      </c>
      <c r="AO21" s="540">
        <f>IF(ISNUMBER(STDEV(AO8:AO18)),STDEV(AO8:AO18),"-")</f>
        <v>2.7029032365048291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KXvim5B82ioVtxsRJ2E40iR96LumqWNSVb9LCsFTHQsCpvjwtOChncyqNW8MQgKo7Y4N2nb+zQdZ3vh19kubw==" saltValue="lGbJPgWu6T2hwmG2U5VS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lB9iEkGKaxO/2p812bq2aj/8Pjg4hPfF4S8Oyf7o743Ws1IhwBKF0H6kckLuf7UOZOFLsTPXQEXMBas6gO5fw==" saltValue="G2bubU4RBG//Okz3gHcJ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1s7QaUiErVsza2wxPn0FBCYMp+UY1lBA/wAxVRW6foQHFfEMxgXWRza+OgCauQwOjcSoTsPhdVXNFGi62M0JQ==" saltValue="QbM7px18zk2cWgMjEPrq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0.29687074829931975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0.2099193192583737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6pQY+lU8FVUe1QOS6Rr97tWN6lEvBdNx6sMY7sOFoAzwj9llgCdaRWAGgJR/IikDLv4xO2o3bpRnjZVPL2hHg==" saltValue="ze66AijpH923CI812+od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kZ11emKitUzoG7YQA+YT2sEBOEnvx3k3hNMGDHWPQgW2+JRkLY84wjP3+ZOfnSPnNewuzx92/hlY0UDZacg8A==" saltValue="1JfRZgIlPrLdhHHd9rzk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VIGO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14805</v>
      </c>
      <c r="D9" s="404">
        <f>IF(ISNUMBER(C9/Datos!BH9),C9/Datos!BH9," - ")</f>
        <v>1138.8461538461538</v>
      </c>
      <c r="E9" s="403">
        <f>IF(ISNUMBER(IF(J_V="SI",Datos!J9,Datos!J9+Datos!Z9)),IF(J_V="SI",Datos!J9,Datos!J9+Datos!Z9)," - ")</f>
        <v>6236</v>
      </c>
      <c r="F9" s="404">
        <f>IF(ISNUMBER(E9/B9),E9/B9," - ")</f>
        <v>479.69230769230768</v>
      </c>
      <c r="G9" s="403">
        <f>IF(ISNUMBER(IF(J_V="SI",Datos!K9,Datos!K9+Datos!AA9)),IF(J_V="SI",Datos!K9,Datos!K9+Datos!AA9)," - ")</f>
        <v>6263</v>
      </c>
      <c r="H9" s="404">
        <f>IF(ISNUMBER(G9/B9),G9/B9," - ")</f>
        <v>481.76923076923077</v>
      </c>
      <c r="I9" s="403">
        <f>IF(ISNUMBER(IF(J_V="SI",Datos!L9,Datos!L9+Datos!AB9)),IF(J_V="SI",Datos!L9,Datos!L9+Datos!AB9)," - ")</f>
        <v>13711</v>
      </c>
      <c r="J9" s="404">
        <f>IF(ISNUMBER(I9/B9),I9/B9," - ")</f>
        <v>1054.6923076923076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68</v>
      </c>
      <c r="D10" s="404">
        <f>IF(ISNUMBER(C10/Datos!BH10),C10/Datos!BH10," - ")</f>
        <v>68</v>
      </c>
      <c r="E10" s="403">
        <f>IF(ISNUMBER(Datos!J10),Datos!J10," - ")</f>
        <v>31</v>
      </c>
      <c r="F10" s="404">
        <f>IF(ISNUMBER(E10/B10),E10/B10," - ")</f>
        <v>31</v>
      </c>
      <c r="G10" s="403">
        <f>IF(ISNUMBER(Datos!K10),Datos!K10," - ")</f>
        <v>27</v>
      </c>
      <c r="H10" s="404">
        <f>IF(ISNUMBER(G10/B10),G10/B10," - ")</f>
        <v>27</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1141</v>
      </c>
      <c r="D11" s="404">
        <f>IF(ISNUMBER(C11/Datos!BH11),C11/Datos!BH11," - ")</f>
        <v>380.33333333333331</v>
      </c>
      <c r="E11" s="403">
        <f>IF(ISNUMBER(IF(J_V="SI",Datos!J11,Datos!J11+Datos!Z11)),IF(J_V="SI",Datos!J11,Datos!J11+Datos!Z11)," - ")</f>
        <v>1090</v>
      </c>
      <c r="F11" s="404">
        <f>IF(ISNUMBER(E11/B11),E11/B11," - ")</f>
        <v>363.33333333333331</v>
      </c>
      <c r="G11" s="403">
        <f>IF(ISNUMBER(IF(J_V="SI",Datos!K11,Datos!K11+Datos!AA11)),IF(J_V="SI",Datos!K11,Datos!K11+Datos!AA11)," - ")</f>
        <v>1060</v>
      </c>
      <c r="H11" s="404">
        <f>IF(ISNUMBER(G11/B11),G11/B11," - ")</f>
        <v>353.33333333333331</v>
      </c>
      <c r="I11" s="403">
        <f>IF(ISNUMBER(IF(J_V="SI",Datos!L11,Datos!L11+Datos!AB11)),IF(J_V="SI",Datos!L11,Datos!L11+Datos!AB11)," - ")</f>
        <v>1171</v>
      </c>
      <c r="J11" s="404">
        <f>IF(ISNUMBER(I11/B11),I11/B11," - ")</f>
        <v>390.33333333333331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16014</v>
      </c>
      <c r="D13" s="850" t="str">
        <f>IF(ISNUMBER(C13/Datos!BI13),C13/Datos!BI13," - ")</f>
        <v xml:space="preserve"> - </v>
      </c>
      <c r="E13" s="849">
        <f>SUBTOTAL(9,E8:E12)</f>
        <v>7357</v>
      </c>
      <c r="F13" s="850">
        <f>IF(ISNUMBER(E13/B13),E13/B13," - ")</f>
        <v>432.76470588235293</v>
      </c>
      <c r="G13" s="849">
        <f>SUBTOTAL(9,G8:G12)</f>
        <v>7350</v>
      </c>
      <c r="H13" s="850">
        <f>IF(ISNUMBER(G13/B13),G13/B13," - ")</f>
        <v>432.35294117647061</v>
      </c>
      <c r="I13" s="849">
        <f>SUBTOTAL(9,I8:I12)</f>
        <v>14954</v>
      </c>
      <c r="J13" s="850">
        <f>IF(ISNUMBER(I13/B13),I13/B13," - ")</f>
        <v>879.64705882352939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2867</v>
      </c>
      <c r="D15" s="404">
        <f>IF(ISNUMBER(C15/Datos!BH15),C15/Datos!BH15," - ")</f>
        <v>358.375</v>
      </c>
      <c r="E15" s="403">
        <f>IF(ISNUMBER(IF(D_I="SI",Datos!J15,Datos!J15+Datos!AD15)),IF(D_I="SI",Datos!J15,Datos!J15+Datos!AD15)," - ")</f>
        <v>6138</v>
      </c>
      <c r="F15" s="404">
        <f>IF(ISNUMBER(E15/B15),E15/B15," - ")</f>
        <v>767.25</v>
      </c>
      <c r="G15" s="403">
        <f>IF(ISNUMBER(IF(D_I="SI",Datos!K15,Datos!K15+Datos!AE15)),IF(D_I="SI",Datos!K15,Datos!K15+Datos!AE15)," - ")</f>
        <v>6349</v>
      </c>
      <c r="H15" s="404">
        <f>IF(ISNUMBER(G15/B15),G15/B15," - ")</f>
        <v>793.625</v>
      </c>
      <c r="I15" s="403">
        <f>IF(ISNUMBER(IF(D_I="SI",Datos!L15,Datos!L15+Datos!AF15)),IF(D_I="SI",Datos!L15,Datos!L15+Datos!AF15)," - ")</f>
        <v>2760</v>
      </c>
      <c r="J15" s="404">
        <f>IF(ISNUMBER(I15/B15),I15/B15," - ")</f>
        <v>345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346</v>
      </c>
      <c r="D17" s="404">
        <f>IF(ISNUMBER(C17/Datos!BH17),C17/Datos!BH17," - ")</f>
        <v>346</v>
      </c>
      <c r="E17" s="403">
        <f>IF(ISNUMBER(IF(D_I="SI",Datos!J17,Datos!J17+Datos!AD17)),IF(D_I="SI",Datos!J17,Datos!J17+Datos!AD17)," - ")</f>
        <v>313</v>
      </c>
      <c r="F17" s="404">
        <f>IF(ISNUMBER(E17/B17),E17/B17," - ")</f>
        <v>313</v>
      </c>
      <c r="G17" s="403">
        <f>IF(ISNUMBER(IF(D_I="SI",Datos!K17,Datos!K17+Datos!AE17)),IF(D_I="SI",Datos!K17,Datos!K17+Datos!AE17)," - ")</f>
        <v>340</v>
      </c>
      <c r="H17" s="404">
        <f>IF(ISNUMBER(G17/B17),G17/B17," - ")</f>
        <v>340</v>
      </c>
      <c r="I17" s="403">
        <f>IF(ISNUMBER(IF(D_I="SI",Datos!L17,Datos!L17+Datos!AF17)),IF(D_I="SI",Datos!L17,Datos!L17+Datos!AF17)," - ")</f>
        <v>281</v>
      </c>
      <c r="J17" s="404">
        <f>IF(ISNUMBER(I17/B17),I17/B17," - ")</f>
        <v>281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3213</v>
      </c>
      <c r="D18" s="850" t="str">
        <f>IF(ISNUMBER(C18/Datos!BI18),C18/Datos!BI18," - ")</f>
        <v xml:space="preserve"> - </v>
      </c>
      <c r="E18" s="849">
        <f>SUBTOTAL(9,E14:E17)</f>
        <v>6451</v>
      </c>
      <c r="F18" s="850">
        <f>IF(ISNUMBER(E18/B18),E18/B18," - ")</f>
        <v>716.77777777777783</v>
      </c>
      <c r="G18" s="849">
        <f>SUBTOTAL(9,G14:G17)</f>
        <v>6689</v>
      </c>
      <c r="H18" s="850">
        <f>IF(ISNUMBER(G18/B18),G18/B18," - ")</f>
        <v>743.22222222222217</v>
      </c>
      <c r="I18" s="849">
        <f>SUBTOTAL(9,I14:I17)</f>
        <v>3041</v>
      </c>
      <c r="J18" s="850">
        <f>IF(ISNUMBER(I18/B18),I18/B18," - ")</f>
        <v>337.88888888888891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19227</v>
      </c>
      <c r="D19" s="795" t="str">
        <f>IF(ISNUMBER(C19/Datos!BI19),C19/Datos!BI19," - ")</f>
        <v xml:space="preserve"> - </v>
      </c>
      <c r="E19" s="794">
        <f>SUBTOTAL(9,E9:E18)</f>
        <v>13808</v>
      </c>
      <c r="F19" s="795">
        <f>IF(ISNUMBER(E19/B19),E19/B19," - ")</f>
        <v>552.32000000000005</v>
      </c>
      <c r="G19" s="794">
        <f>SUBTOTAL(9,G9:G18)</f>
        <v>14039</v>
      </c>
      <c r="H19" s="795">
        <f>IF(ISNUMBER(G19/B19),G19/B19," - ")</f>
        <v>561.55999999999995</v>
      </c>
      <c r="I19" s="794">
        <f>SUBTOTAL(9,I9:I18)</f>
        <v>17995</v>
      </c>
      <c r="J19" s="795">
        <f>IF(ISNUMBER(I19/B19),I19/B19," - ")</f>
        <v>719.8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RDfLHBkiAkWePKCafjMt9stOBDzh/QGS+MKcRhJvzhHRLWX0osLqEmcpUReKvx9C6rqCv+wsuvKVN3KL92nRw==" saltValue="l7yzwdOLeNVxHjlzqw+c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68</v>
      </c>
      <c r="G10" s="684">
        <f>IF(ISNUMBER(Datos!I10),Datos!I10," - ")</f>
        <v>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68</v>
      </c>
      <c r="G13" s="938">
        <f t="shared" si="0"/>
        <v>68</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72</v>
      </c>
      <c r="AG13" s="939">
        <f t="shared" si="1"/>
        <v>0</v>
      </c>
      <c r="AH13" s="939">
        <f t="shared" si="1"/>
        <v>0</v>
      </c>
      <c r="AI13" s="939">
        <f t="shared" si="1"/>
        <v>0</v>
      </c>
      <c r="AJ13" s="939">
        <f t="shared" si="1"/>
        <v>0</v>
      </c>
      <c r="AK13" s="939">
        <f t="shared" si="1"/>
        <v>0</v>
      </c>
      <c r="AL13" s="939">
        <f t="shared" si="1"/>
        <v>9</v>
      </c>
      <c r="AM13" s="939">
        <f t="shared" si="1"/>
        <v>17</v>
      </c>
      <c r="AN13" s="939">
        <f t="shared" si="1"/>
        <v>0</v>
      </c>
      <c r="AO13" s="939">
        <f t="shared" si="1"/>
        <v>0</v>
      </c>
      <c r="AP13" s="944">
        <f>IF(ISNUMBER(((Datos!L13/Datos!K13)*11)/factor_trimestre),((Datos!L13/Datos!K13)*11)/factor_trimestre," - ")</f>
        <v>6.5760869565217392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-0.39705882352941174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1.3638809986545075</v>
      </c>
      <c r="AQ18" s="944">
        <f>IF(ISNUMBER(((Datos!M18/Datos!L18)*11)/factor_trimestre),((Datos!M18/Datos!L18)*11)/factor_trimestre," - ")</f>
        <v>0.83656691877671829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-7.7134986225895319E-2</v>
      </c>
      <c r="AW18" s="946">
        <f>IF(ISNUMBER((Datos!Q18-Datos!R18)/(Datos!S18-Datos!Q18+Datos!R18)),(Datos!Q18-Datos!R18)/(Datos!S18-Datos!Q18+Datos!R18)," - ")</f>
        <v>-6.9241379310344825E-2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68</v>
      </c>
      <c r="G19" s="951">
        <f t="shared" si="4"/>
        <v>68</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72</v>
      </c>
      <c r="AG19" s="958">
        <f t="shared" si="5"/>
        <v>0</v>
      </c>
      <c r="AH19" s="958">
        <f t="shared" si="5"/>
        <v>0</v>
      </c>
      <c r="AI19" s="958">
        <f t="shared" si="5"/>
        <v>0</v>
      </c>
      <c r="AJ19" s="959">
        <f t="shared" si="5"/>
        <v>0</v>
      </c>
      <c r="AK19" s="959">
        <f t="shared" si="5"/>
        <v>0</v>
      </c>
      <c r="AL19" s="951">
        <f t="shared" si="5"/>
        <v>9</v>
      </c>
      <c r="AM19" s="951">
        <f t="shared" si="5"/>
        <v>17</v>
      </c>
      <c r="AN19" s="951">
        <f t="shared" si="5"/>
        <v>0</v>
      </c>
      <c r="AO19" s="951">
        <f t="shared" si="5"/>
        <v>0</v>
      </c>
      <c r="AP19" s="951">
        <f>IF(ISNUMBER(((Datos!L19/Datos!K19)*11)/factor_trimestre),((Datos!L19/Datos!K19)*11)/factor_trimestre," - ")</f>
        <v>3.9572598212273715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-0.39705882352941174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1.8347571813542803E-2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39.259818304894551</v>
      </c>
      <c r="G21" s="737">
        <f>IF(ISNUMBER(STDEV(G8:G18)),STDEV(G8:G18),"-")</f>
        <v>39.259818304894551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3.4936297910776819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Gu9MNsTk+9PogMC/A9EGqG6xHZqGvW/23sJubh5WOXkyZZhfIwrVtd3jTtNPvLTpLSM6IYovrYsnYsPhbHobw==" saltValue="kmcVuF7Ng2AaYQmFwcLjn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bVAVVBvj1nRCAFz8EQ6MI9K2vgmhCmXcrBxiTgl8WRkHrqQgXluM//38heOZ6c70jtYazS2LN5TMoI3GVn8Ow==" saltValue="gUQF5qphPII3ZhhBA5C1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VIGO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1899</v>
      </c>
      <c r="E9" s="404">
        <f t="shared" ref="E9:E13" si="0">IF(ISNUMBER(D9/B9),D9/B9," - ")</f>
        <v>146.07692307692307</v>
      </c>
      <c r="F9" s="403">
        <f>IF(ISNUMBER(Datos!N9),Datos!N9," - ")</f>
        <v>2064</v>
      </c>
      <c r="G9" s="404">
        <f t="shared" ref="G9:G13" si="1">IF(ISNUMBER(F9/B9),F9/B9," - ")</f>
        <v>158.76923076923077</v>
      </c>
      <c r="H9" s="403">
        <f>IF(ISNUMBER(Datos!O9),Datos!O9," - ")</f>
        <v>2778</v>
      </c>
      <c r="I9" s="404">
        <f>IF(ISNUMBER(H9/B9),H9/B9," - ")</f>
        <v>213.69230769230768</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17</v>
      </c>
      <c r="G10" s="404">
        <f>IF(ISNUMBER(F10/B10),F10/B10," - ")</f>
        <v>17</v>
      </c>
      <c r="H10" s="403">
        <f>IF(ISNUMBER(Datos!O10),Datos!O10," - ")</f>
        <v>6</v>
      </c>
      <c r="I10" s="404">
        <f t="shared" ref="I10:I12" si="2">IF(ISNUMBER(H10/B10),H10/B10," - ")</f>
        <v>6</v>
      </c>
      <c r="BZ10" s="1186">
        <f>Datos!EZ10</f>
        <v>0</v>
      </c>
    </row>
    <row r="11" spans="1:78">
      <c r="A11" s="402" t="str">
        <f>Datos!A11</f>
        <v xml:space="preserve">Jdos. Familia                                   </v>
      </c>
      <c r="B11" s="427">
        <f>Datos!AO11</f>
        <v>3</v>
      </c>
      <c r="C11" s="410">
        <f>Datos!AQ11</f>
        <v>3</v>
      </c>
      <c r="D11" s="403">
        <f>IF(ISNUMBER(Datos!M11),Datos!M11," - ")</f>
        <v>274</v>
      </c>
      <c r="E11" s="404">
        <f t="shared" si="0"/>
        <v>91.333333333333329</v>
      </c>
      <c r="F11" s="403">
        <f>IF(ISNUMBER(Datos!N11),Datos!N11," - ")</f>
        <v>736</v>
      </c>
      <c r="G11" s="404">
        <f t="shared" si="1"/>
        <v>245.33333333333334</v>
      </c>
      <c r="H11" s="403">
        <f>IF(ISNUMBER(Datos!O11),Datos!O11," - ")</f>
        <v>135</v>
      </c>
      <c r="I11" s="404">
        <f t="shared" si="2"/>
        <v>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2182</v>
      </c>
      <c r="E13" s="850">
        <f t="shared" si="0"/>
        <v>128.35294117647058</v>
      </c>
      <c r="F13" s="849">
        <f>SUBTOTAL(9,F9:F12)</f>
        <v>2817</v>
      </c>
      <c r="G13" s="850">
        <f t="shared" si="1"/>
        <v>165.70588235294119</v>
      </c>
      <c r="H13" s="849">
        <f>SUBTOTAL(9,H9:H12)</f>
        <v>2919</v>
      </c>
      <c r="I13" s="850">
        <f>IF(ISNUMBER(H13/B13),H13/B13," - ")</f>
        <v>171.70588235294119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797</v>
      </c>
      <c r="E15" s="404">
        <f t="shared" ref="E15:E18" si="3">IF(ISNUMBER(D15/B15),D15/B15," - ")</f>
        <v>99.625</v>
      </c>
      <c r="F15" s="403">
        <f>IF(ISNUMBER(Datos!N15),Datos!N15," - ")</f>
        <v>3791</v>
      </c>
      <c r="G15" s="404">
        <f t="shared" ref="G15:G18" si="4">IF(ISNUMBER(F15/B15),F15/B15," - ")</f>
        <v>473.875</v>
      </c>
      <c r="H15" s="403">
        <f>IF(ISNUMBER(Datos!O15),Datos!O15," - ")</f>
        <v>138</v>
      </c>
      <c r="I15" s="404">
        <f t="shared" ref="I15:I17" si="5">IF(ISNUMBER(H15/B15),H15/B15," - ")</f>
        <v>17.25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51</v>
      </c>
      <c r="E17" s="404">
        <f>IF(ISNUMBER(D17/B17),D17/B17," - ")</f>
        <v>51</v>
      </c>
      <c r="F17" s="403">
        <f>IF(ISNUMBER(Datos!N17),Datos!N17," - ")</f>
        <v>198</v>
      </c>
      <c r="G17" s="404">
        <f>IF(ISNUMBER(F17/B17),F17/B17," - ")</f>
        <v>198</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848</v>
      </c>
      <c r="E18" s="850">
        <f t="shared" si="3"/>
        <v>94.222222222222229</v>
      </c>
      <c r="F18" s="849">
        <f>SUBTOTAL(9,F15:F17)</f>
        <v>3989</v>
      </c>
      <c r="G18" s="850">
        <f t="shared" si="4"/>
        <v>443.22222222222223</v>
      </c>
      <c r="H18" s="849">
        <f>SUBTOTAL(9,H15:H17)</f>
        <v>138</v>
      </c>
      <c r="I18" s="850">
        <f>IF(ISNUMBER(H18/B18),H18/B18," - ")</f>
        <v>15.333333333333334</v>
      </c>
      <c r="BZ18" s="1186"/>
    </row>
    <row r="19" spans="1:78" ht="14.25" thickTop="1" thickBot="1">
      <c r="A19" s="793" t="str">
        <f>Datos!A19</f>
        <v>TOTAL JURISDICCIONES</v>
      </c>
      <c r="B19" s="794">
        <f>Datos!AP19</f>
        <v>25</v>
      </c>
      <c r="C19" s="794">
        <f>Datos!AR19</f>
        <v>25</v>
      </c>
      <c r="D19" s="794">
        <f>SUBTOTAL(9,D8:D18)</f>
        <v>3030</v>
      </c>
      <c r="E19" s="795">
        <f>IF(ISNUMBER(D19/B19),D19/B19," - ")</f>
        <v>121.2</v>
      </c>
      <c r="F19" s="794">
        <f>SUBTOTAL(9,F8:F18)</f>
        <v>6806</v>
      </c>
      <c r="G19" s="795">
        <f>IF(ISNUMBER(F19/B19),F19/B19," - ")</f>
        <v>272.24</v>
      </c>
      <c r="H19" s="794">
        <f>SUBTOTAL(9,H8:H18)</f>
        <v>3057</v>
      </c>
      <c r="I19" s="795">
        <f>IF(ISNUMBER(H19/B19),H19/B19," - ")</f>
        <v>122.28</v>
      </c>
    </row>
    <row r="22" spans="1:78">
      <c r="A22" s="391" t="str">
        <f>Criterios!A4</f>
        <v>Fecha Informe: 24 sep. 2024</v>
      </c>
    </row>
    <row r="27" spans="1:78">
      <c r="A27" s="414"/>
    </row>
  </sheetData>
  <sheetProtection algorithmName="SHA-512" hashValue="ZtMKojKKJ0F6Xg5RY9ZxMf7dkHIdlYAXDxwIKyrJctemBvfDere1CdzxEv76b1hrC6Ip5gSXs+Vnh0EB43VQ5Q==" saltValue="lBdORblosmHIUMyavMk6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VIGO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1166</v>
      </c>
      <c r="C9" s="434">
        <f>IF(ISNUMBER(Datos!Q9),Datos!Q9," - ")</f>
        <v>795</v>
      </c>
      <c r="D9" s="408">
        <f>IF(ISNUMBER(Datos!R9),Datos!R9," - ")</f>
        <v>16337</v>
      </c>
    </row>
    <row r="10" spans="1:4">
      <c r="A10" s="402" t="str">
        <f>Datos!A10</f>
        <v>Jdos. Violencia contra la mujer</v>
      </c>
      <c r="B10" s="433">
        <f>IF(ISNUMBER(Datos!P10),Datos!P10," - ")</f>
        <v>8</v>
      </c>
      <c r="C10" s="434">
        <f>IF(ISNUMBER(Datos!Q10),Datos!Q10," - ")</f>
        <v>6</v>
      </c>
      <c r="D10" s="408">
        <f>IF(ISNUMBER(Datos!R10),Datos!R10," - ")</f>
        <v>76</v>
      </c>
    </row>
    <row r="11" spans="1:4">
      <c r="A11" s="402" t="str">
        <f>Datos!A11</f>
        <v xml:space="preserve">Jdos. Familia                                   </v>
      </c>
      <c r="B11" s="433">
        <f>IF(ISNUMBER(Datos!P11),Datos!P11," - ")</f>
        <v>75</v>
      </c>
      <c r="C11" s="434">
        <f>IF(ISNUMBER(Datos!Q11),Datos!Q11," - ")</f>
        <v>72</v>
      </c>
      <c r="D11" s="408">
        <f>IF(ISNUMBER(Datos!R11),Datos!R11," - ")</f>
        <v>678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1249</v>
      </c>
      <c r="C13" s="853">
        <f>SUBTOTAL(9,C9:C12)</f>
        <v>873</v>
      </c>
      <c r="D13" s="851">
        <f>SUBTOTAL(9,D9:D12)</f>
        <v>17091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358</v>
      </c>
      <c r="C15" s="434">
        <f>IF(ISNUMBER(Datos!Q15),Datos!Q15," - ")</f>
        <v>415</v>
      </c>
      <c r="D15" s="408">
        <f>IF(ISNUMBER(Datos!R15),Datos!R15," - ")</f>
        <v>667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4</v>
      </c>
      <c r="D17" s="408">
        <f>IF(ISNUMBER(Datos!R17),Datos!R17," - ")</f>
        <v>3</v>
      </c>
    </row>
    <row r="18" spans="1:4" ht="14.25" thickTop="1" thickBot="1">
      <c r="A18" s="848" t="str">
        <f>Datos!A18</f>
        <v>TOTAL</v>
      </c>
      <c r="B18" s="849">
        <f>SUBTOTAL(9,B15:B17)</f>
        <v>363</v>
      </c>
      <c r="C18" s="853">
        <f>SUBTOTAL(9,C15:C17)</f>
        <v>419</v>
      </c>
      <c r="D18" s="851">
        <f>SUBTOTAL(9,D15:D17)</f>
        <v>670</v>
      </c>
    </row>
    <row r="19" spans="1:4" ht="16.5" customHeight="1" thickTop="1" thickBot="1">
      <c r="A19" s="793" t="str">
        <f>Datos!A19</f>
        <v>TOTAL JURISDICCIONES</v>
      </c>
      <c r="B19" s="798">
        <f>SUBTOTAL(9,B8:B18)</f>
        <v>1612</v>
      </c>
      <c r="C19" s="799">
        <f>SUBTOTAL(9,C8:C18)</f>
        <v>1292</v>
      </c>
      <c r="D19" s="800">
        <f>SUBTOTAL(9,D8:D18)</f>
        <v>17761</v>
      </c>
    </row>
    <row r="20" spans="1:4" ht="7.5" customHeight="1"/>
    <row r="21" spans="1:4" ht="6" customHeight="1"/>
    <row r="22" spans="1:4">
      <c r="A22" s="391" t="str">
        <f>Criterios!A4</f>
        <v>Fecha Informe: 24 sep. 2024</v>
      </c>
    </row>
    <row r="27" spans="1:4">
      <c r="A27" s="414"/>
    </row>
  </sheetData>
  <sheetProtection algorithmName="SHA-512" hashValue="OgTjhsjOVZBrhvz3JGsYzEdtn9eXBLQ8N2NfwFwCnG5xj4yzO/Zfii/ZZ1NCImMWGGFPF0PFR4Z5WAJXXR9Ppw==" saltValue="0DDR/eRncw6F1VRL36tZ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VIGO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0.17789800302331132</v>
      </c>
      <c r="C9" s="456">
        <f>IF(ISNUMBER(
   IF(J_V="SI",(Datos!J9-Datos!T9)/Datos!T9,(Datos!J9+Datos!Z9-(Datos!T9+Datos!AH9))/(Datos!T9+Datos!AH9))
     ),IF(J_V="SI",(Datos!J9-Datos!T9)/Datos!T9,(Datos!J9+Datos!Z9-(Datos!T9+Datos!AH9))/(Datos!T9+Datos!AH9))," - ")</f>
        <v>0.19624016880874737</v>
      </c>
      <c r="D9" s="456">
        <f>IF(ISNUMBER(
   IF(J_V="SI",(Datos!K9-Datos!U9)/Datos!U9,(Datos!K9+Datos!AA9-(Datos!U9+Datos!AI9))/(Datos!U9+Datos!AI9))
     ),IF(J_V="SI",(Datos!K9-Datos!U9)/Datos!U9,(Datos!K9+Datos!AA9-(Datos!U9+Datos!AI9))/(Datos!U9+Datos!AI9))," - ")</f>
        <v>0.26193834374370339</v>
      </c>
      <c r="E9" s="456">
        <f>IF(ISNUMBER(
   IF(J_V="SI",(Datos!L9-Datos!V9)/Datos!V9,(Datos!L9+Datos!AB9-(Datos!V9+Datos!AJ9))/(Datos!V9+Datos!AJ9))
     ),IF(J_V="SI",(Datos!L9-Datos!V9)/Datos!V9,(Datos!L9+Datos!AB9-(Datos!V9+Datos!AJ9))/(Datos!V9+Datos!AJ9))," - ")</f>
        <v>7.7062058130400624E-2</v>
      </c>
      <c r="F9" s="456">
        <f>IF(ISNUMBER((Datos!M9-Datos!W9)/Datos!W9),(Datos!M9-Datos!W9)/Datos!W9," - ")</f>
        <v>0.26347305389221559</v>
      </c>
      <c r="G9" s="457">
        <f>IF(ISNUMBER((Datos!N9-Datos!X9)/Datos!X9),(Datos!N9-Datos!X9)/Datos!X9," - ")</f>
        <v>6.4466219700876737E-2</v>
      </c>
      <c r="H9" s="455">
        <f>IF(ISNUMBER(((NºAsuntos!G9/NºAsuntos!E9)-Datos!BD9)/Datos!BD9),((NºAsuntos!G9/NºAsuntos!E9)-Datos!BD9)/Datos!BD9," - ")</f>
        <v>5.4920555794728175E-2</v>
      </c>
      <c r="I9" s="456">
        <f>IF(ISNUMBER(((NºAsuntos!I9/NºAsuntos!G9)-Datos!BE9)/Datos!BE9),((NºAsuntos!I9/NºAsuntos!G9)-Datos!BE9)/Datos!BE9," - ")</f>
        <v>-0.14650183705872921</v>
      </c>
      <c r="J9" s="461">
        <f>IF(ISNUMBER((('Resol  Asuntos'!D9/NºAsuntos!G9)-Datos!BF9)/Datos!BF9),(('Resol  Asuntos'!D9/NºAsuntos!G9)-Datos!BF9)/Datos!BF9," - ")</f>
        <v>-0.22391548323170116</v>
      </c>
      <c r="K9" s="462">
        <f>IF(ISNUMBER((((NºAsuntos!C9+NºAsuntos!E9)/NºAsuntos!G9)-Datos!BG9)/Datos!BG9),(((NºAsuntos!C9+NºAsuntos!E9)/NºAsuntos!G9)-Datos!BG9)/Datos!BG9," - ")</f>
        <v>-6.2335154485912675E-2</v>
      </c>
    </row>
    <row r="10" spans="1:11">
      <c r="A10" s="402" t="str">
        <f>Datos!A10</f>
        <v>Jdos. Violencia contra la mujer</v>
      </c>
      <c r="B10" s="455">
        <f>IF(ISNUMBER((Datos!I10-Datos!S10)/Datos!S10),(Datos!I10-Datos!S10)/Datos!S10," - ")</f>
        <v>-5.5555555555555552E-2</v>
      </c>
      <c r="C10" s="456">
        <f>IF(ISNUMBER((Datos!J10-Datos!T10)/Datos!T10),(Datos!J10-Datos!T10)/Datos!T10," - ")</f>
        <v>0.40909090909090912</v>
      </c>
      <c r="D10" s="456">
        <f>IF(ISNUMBER((Datos!K10-Datos!U10)/Datos!U10),(Datos!K10-Datos!U10)/Datos!U10," - ")</f>
        <v>0.22727272727272727</v>
      </c>
      <c r="E10" s="456">
        <f>IF(ISNUMBER((Datos!L10-Datos!V10)/Datos!V10),(Datos!L10-Datos!V10)/Datos!V10," - ")</f>
        <v>0</v>
      </c>
      <c r="F10" s="456">
        <f>IF(ISNUMBER((Datos!M10-Datos!W10)/Datos!W10),(Datos!M10-Datos!W10)/Datos!W10," - ")</f>
        <v>2</v>
      </c>
      <c r="G10" s="457">
        <f>IF(ISNUMBER((Datos!N10-Datos!X10)/Datos!X10),(Datos!N10-Datos!X10)/Datos!X10," - ")</f>
        <v>0.7</v>
      </c>
      <c r="H10" s="455">
        <f>IF(ISNUMBER(((NºAsuntos!G10/NºAsuntos!E10)-Datos!BD10)/Datos!BD10),((NºAsuntos!G10/NºAsuntos!E10)-Datos!BD10)/Datos!BD10," - ")</f>
        <v>-0.12903225806451613</v>
      </c>
      <c r="I10" s="456">
        <f>IF(ISNUMBER(((NºAsuntos!I10/NºAsuntos!G10)-Datos!BE10)/Datos!BE10),((NºAsuntos!I10/NºAsuntos!G10)-Datos!BE10)/Datos!BE10," - ")</f>
        <v>-0.18518518518518529</v>
      </c>
      <c r="J10" s="461">
        <f>IF(ISNUMBER((('Resol  Asuntos'!D10/NºAsuntos!G10)-Datos!BF10)/Datos!BF10),(('Resol  Asuntos'!D10/NºAsuntos!G10)-Datos!BF10)/Datos!BF10," - ")</f>
        <v>1.4444444444444444</v>
      </c>
      <c r="K10" s="462">
        <f>IF(ISNUMBER((((NºAsuntos!C10+NºAsuntos!E10)/NºAsuntos!G10)-Datos!BG10)/Datos!BG10),(((NºAsuntos!C10+NºAsuntos!E10)/NºAsuntos!G10)-Datos!BG10)/Datos!BG10," - ")</f>
        <v>-0.14184397163120566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-0.23525469168900803</v>
      </c>
      <c r="C11" s="456">
        <f>IF(ISNUMBER(
   IF(J_V="SI",(Datos!J11-Datos!T11)/Datos!T11,(Datos!J11+Datos!Z11-(Datos!T11+Datos!AH11))/(Datos!T11+Datos!AH11))
     ),IF(J_V="SI",(Datos!J11-Datos!T11)/Datos!T11,(Datos!J11+Datos!Z11-(Datos!T11+Datos!AH11))/(Datos!T11+Datos!AH11))," - ")</f>
        <v>4.0076335877862593E-2</v>
      </c>
      <c r="D11" s="456">
        <f>IF(ISNUMBER(
   IF(J_V="SI",(Datos!K11-Datos!U11)/Datos!U11,(Datos!K11+Datos!AA11-(Datos!U11+Datos!AI11))/(Datos!U11+Datos!AI11))
     ),IF(J_V="SI",(Datos!K11-Datos!U11)/Datos!U11,(Datos!K11+Datos!AA11-(Datos!U11+Datos!AI11))/(Datos!U11+Datos!AI11))," - ")</f>
        <v>7.3961499493414393E-2</v>
      </c>
      <c r="E11" s="456">
        <f>IF(ISNUMBER(
   IF(J_V="SI",(Datos!L11-Datos!V11)/Datos!V11,(Datos!L11+Datos!AB11-(Datos!V11+Datos!AJ11))/(Datos!V11+Datos!AJ11))
     ),IF(J_V="SI",(Datos!L11-Datos!V11)/Datos!V11,(Datos!L11+Datos!AB11-(Datos!V11+Datos!AJ11))/(Datos!V11+Datos!AJ11))," - ")</f>
        <v>-0.24597553122987767</v>
      </c>
      <c r="F11" s="456">
        <f>IF(ISNUMBER((Datos!M11-Datos!W11)/Datos!W11),(Datos!M11-Datos!W11)/Datos!W11," - ")</f>
        <v>-4.5296167247386762E-2</v>
      </c>
      <c r="G11" s="457">
        <f>IF(ISNUMBER((Datos!N11-Datos!X11)/Datos!X11),(Datos!N11-Datos!X11)/Datos!X11," - ")</f>
        <v>0.25383304940374785</v>
      </c>
      <c r="H11" s="455">
        <f>IF(ISNUMBER(((NºAsuntos!G11/NºAsuntos!E11)-Datos!BD11)/Datos!BD11),((NºAsuntos!G11/NºAsuntos!E11)-Datos!BD11)/Datos!BD11," - ")</f>
        <v>3.2579496760640647E-2</v>
      </c>
      <c r="I11" s="456">
        <f>IF(ISNUMBER(((NºAsuntos!I11/NºAsuntos!G11)-Datos!BE11)/Datos!BE11),((NºAsuntos!I11/NºAsuntos!G11)-Datos!BE11)/Datos!BE11," - ")</f>
        <v>-0.29790363143763143</v>
      </c>
      <c r="J11" s="461">
        <f>IF(ISNUMBER((('Resol  Asuntos'!D11/NºAsuntos!G11)-Datos!BF11)/Datos!BF11),(('Resol  Asuntos'!D11/NºAsuntos!G11)-Datos!BF11)/Datos!BF11," - ")</f>
        <v>-0.56536594773552762</v>
      </c>
      <c r="K11" s="462">
        <f>IF(ISNUMBER((((NºAsuntos!C11+NºAsuntos!E11)/NºAsuntos!G11)-Datos!BG11)/Datos!BG11),(((NºAsuntos!C11+NºAsuntos!E11)/NºAsuntos!G11)-Datos!BG11)/Datos!BG11," - ")</f>
        <v>-0.18214344079631561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0.13309276162173636</v>
      </c>
      <c r="C13" s="855">
        <f>IF(ISNUMBER(
   IF(J_V="SI",(Datos!J13-Datos!T13)/Datos!T13,(Datos!J13+Datos!Z13-(Datos!T13+Datos!AH13))/(Datos!T13+Datos!AH13))
     ),IF(J_V="SI",(Datos!J13-Datos!T13)/Datos!T13,(Datos!J13+Datos!Z13-(Datos!T13+Datos!AH13))/(Datos!T13+Datos!AH13))," - ")</f>
        <v>0.17093745026261339</v>
      </c>
      <c r="D13" s="855">
        <f>IF(ISNUMBER(
   IF(J_V="SI",(Datos!K13-Datos!U13)/Datos!U13,(Datos!K13+Datos!AA13-(Datos!U13+Datos!AI13))/(Datos!U13+Datos!AI13))
     ),IF(J_V="SI",(Datos!K13-Datos!U13)/Datos!U13,(Datos!K13+Datos!AA13-(Datos!U13+Datos!AI13))/(Datos!U13+Datos!AI13))," - ")</f>
        <v>0.23074346952444741</v>
      </c>
      <c r="E13" s="855">
        <f>IF(ISNUMBER(
   IF(J_V="SI",(Datos!L13-Datos!V13)/Datos!V13,(Datos!L13+Datos!AB13-(Datos!V13+Datos!AJ13))/(Datos!V13+Datos!AJ13))
     ),IF(J_V="SI",(Datos!L13-Datos!V13)/Datos!V13,(Datos!L13+Datos!AB13-(Datos!V13+Datos!AJ13))/(Datos!V13+Datos!AJ13))," - ")</f>
        <v>4.1727621037965866E-2</v>
      </c>
      <c r="F13" s="856">
        <f>IF(ISNUMBER((Datos!M13-Datos!W13)/Datos!W13),(Datos!M13-Datos!W13)/Datos!W13," - ")</f>
        <v>0.2169548243167875</v>
      </c>
      <c r="G13" s="857">
        <f>IF(ISNUMBER((Datos!N13-Datos!X13)/Datos!X13),(Datos!N13-Datos!X13)/Datos!X13," - ")</f>
        <v>0.11080441640378549</v>
      </c>
      <c r="H13" s="857">
        <f>IF(ISNUMBER(((NºAsuntos!G13/NºAsuntos!E13)-Datos!BD13)/Datos!BD13),((NºAsuntos!G13/NºAsuntos!E13)-Datos!BD13)/Datos!BD13," - ")</f>
        <v>5.1075332203629607E-2</v>
      </c>
      <c r="I13" s="857">
        <f>IF(ISNUMBER(((NºAsuntos!I13/NºAsuntos!G13)-Datos!BE13)/Datos!BE13),((NºAsuntos!I13/NºAsuntos!G13)-Datos!BE13)/Datos!BE13," - ")</f>
        <v>-0.15357859145051259</v>
      </c>
      <c r="J13" s="857">
        <f>IF(ISNUMBER((('Resol  Asuntos'!D13/NºAsuntos!G13)-Datos!BF13)/Datos!BF13),(('Resol  Asuntos'!D13/NºAsuntos!G13)-Datos!BF13)/Datos!BF13," - ")</f>
        <v>-0.2989671376656633</v>
      </c>
      <c r="K13" s="857">
        <f>IF(ISNUMBER((((NºAsuntos!C13+NºAsuntos!E13)/NºAsuntos!G13)-Datos!BG13)/Datos!BG13),(((NºAsuntos!C13+NºAsuntos!E13)/NºAsuntos!G13)-Datos!BG13)/Datos!BG13," - ")</f>
        <v>-6.9879752841575535E-2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-7.4564234990316336E-2</v>
      </c>
      <c r="C15" s="456">
        <f>IF(ISNUMBER(
   IF(D_I="SI",(Datos!J15-Datos!T15)/Datos!T15,(Datos!J15+Datos!AD15-(Datos!T15+Datos!AL15))/(Datos!T15+Datos!AL15))
     ),IF(D_I="SI",(Datos!J15-Datos!T15)/Datos!T15,(Datos!J15+Datos!AD15-(Datos!T15+Datos!AL15))/(Datos!T15+Datos!AL15))," - ")</f>
        <v>0.11215799963761551</v>
      </c>
      <c r="D15" s="456">
        <f>IF(ISNUMBER(
   IF(D_I="SI",(Datos!K15-Datos!U15)/Datos!U15,(Datos!K15+Datos!AE15-(Datos!U15+Datos!AM15))/(Datos!U15+Datos!AM15))
     ),IF(D_I="SI",(Datos!K15-Datos!U15)/Datos!U15,(Datos!K15+Datos!AE15-(Datos!U15+Datos!AM15))/(Datos!U15+Datos!AM15))," - ")</f>
        <v>0.10783458384226138</v>
      </c>
      <c r="E15" s="456">
        <f>IF(ISNUMBER(
   IF(D_I="SI",(Datos!L15-Datos!V15)/Datos!V15,(Datos!L15+Datos!AF15-(Datos!V15+Datos!AN15))/(Datos!V15+Datos!AN15))
     ),IF(D_I="SI",(Datos!L15-Datos!V15)/Datos!V15,(Datos!L15+Datos!AF15-(Datos!V15+Datos!AN15))/(Datos!V15+Datos!AN15))," - ")</f>
        <v>-6.8825910931174086E-2</v>
      </c>
      <c r="F15" s="456">
        <f>IF(ISNUMBER((Datos!M15-Datos!W15)/Datos!W15),(Datos!M15-Datos!W15)/Datos!W15," - ")</f>
        <v>7.5573549257759789E-2</v>
      </c>
      <c r="G15" s="457">
        <f>IF(ISNUMBER((Datos!N15-Datos!X15)/Datos!X15),(Datos!N15-Datos!X15)/Datos!X15," - ")</f>
        <v>5.893854748603352E-2</v>
      </c>
      <c r="H15" s="455">
        <f>IF(ISNUMBER(((NºAsuntos!G15/NºAsuntos!E15)-Datos!BD15)/Datos!BD15),((NºAsuntos!G15/NºAsuntos!E15)-Datos!BD15)/Datos!BD15," - ")</f>
        <v>-3.8874114979731847E-3</v>
      </c>
      <c r="I15" s="456">
        <f>IF(ISNUMBER(((NºAsuntos!I15/NºAsuntos!G15)-Datos!BE15)/Datos!BE15),((NºAsuntos!I15/NºAsuntos!G15)-Datos!BE15)/Datos!BE15," - ")</f>
        <v>-0.15946468665089927</v>
      </c>
      <c r="J15" s="461">
        <f>IF(ISNUMBER((('Resol  Asuntos'!D15/NºAsuntos!G15)-Datos!BF15)/Datos!BF15),(('Resol  Asuntos'!D15/NºAsuntos!G15)-Datos!BF15)/Datos!BF15," - ")</f>
        <v>-2.9120804725748725E-2</v>
      </c>
      <c r="K15" s="462">
        <f>IF(ISNUMBER((((NºAsuntos!C15+NºAsuntos!E15)/NºAsuntos!G15)-Datos!BG15)/Datos!BG15),(((NºAsuntos!C15+NºAsuntos!E15)/NºAsuntos!G15)-Datos!BG15)/Datos!BG15," - ")</f>
        <v>-5.6693763749596504E-2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0.25362318840579712</v>
      </c>
      <c r="C17" s="456">
        <f>IF(ISNUMBER(
   IF(D_I="SI",(Datos!J17-Datos!T17)/Datos!T17,(Datos!J17+Datos!AD17-(Datos!T17+Datos!AL17))/(Datos!T17+Datos!AL17))
     ),IF(D_I="SI",(Datos!J17-Datos!T17)/Datos!T17,(Datos!J17+Datos!AD17-(Datos!T17+Datos!AL17))/(Datos!T17+Datos!AL17))," - ")</f>
        <v>-7.6696165191740412E-2</v>
      </c>
      <c r="D17" s="456">
        <f>IF(ISNUMBER(
   IF(D_I="SI",(Datos!K17-Datos!U17)/Datos!U17,(Datos!K17+Datos!AE17-(Datos!U17+Datos!AM17))/(Datos!U17+Datos!AM17))
     ),IF(D_I="SI",(Datos!K17-Datos!U17)/Datos!U17,(Datos!K17+Datos!AE17-(Datos!U17+Datos!AM17))/(Datos!U17+Datos!AM17))," - ")</f>
        <v>0.13333333333333333</v>
      </c>
      <c r="E17" s="456">
        <f>IF(ISNUMBER(
   IF(D_I="SI",(Datos!L17-Datos!V17)/Datos!V17,(Datos!L17+Datos!AF17-(Datos!V17+Datos!AN17))/(Datos!V17+Datos!AN17))
     ),IF(D_I="SI",(Datos!L17-Datos!V17)/Datos!V17,(Datos!L17+Datos!AF17-(Datos!V17+Datos!AN17))/(Datos!V17+Datos!AN17))," - ")</f>
        <v>-0.10793650793650794</v>
      </c>
      <c r="F17" s="456">
        <f>IF(ISNUMBER((Datos!M17-Datos!W17)/Datos!W17),(Datos!M17-Datos!W17)/Datos!W17," - ")</f>
        <v>-7.2727272727272724E-2</v>
      </c>
      <c r="G17" s="457">
        <f>IF(ISNUMBER((Datos!N17-Datos!X17)/Datos!X17),(Datos!N17-Datos!X17)/Datos!X17," - ")</f>
        <v>0.25316455696202533</v>
      </c>
      <c r="H17" s="455">
        <f>IF(ISNUMBER(((NºAsuntos!G17/NºAsuntos!E17)-Datos!BD17)/Datos!BD17),((NºAsuntos!G17/NºAsuntos!E17)-Datos!BD17)/Datos!BD17," - ")</f>
        <v>0.22747603833865798</v>
      </c>
      <c r="I17" s="456">
        <f>IF(ISNUMBER(((NºAsuntos!I17/NºAsuntos!G17)-Datos!BE17)/Datos!BE17),((NºAsuntos!I17/NºAsuntos!G17)-Datos!BE17)/Datos!BE17," - ")</f>
        <v>-0.21288515406162473</v>
      </c>
      <c r="J17" s="461">
        <f>IF(ISNUMBER((('Resol  Asuntos'!D17/NºAsuntos!G17)-Datos!BF17)/Datos!BF17),(('Resol  Asuntos'!D17/NºAsuntos!G17)-Datos!BF17)/Datos!BF17," - ")</f>
        <v>-0.1818181818181818</v>
      </c>
      <c r="K17" s="462">
        <f>IF(ISNUMBER((((NºAsuntos!C17+NºAsuntos!E17)/NºAsuntos!G17)-Datos!BG17)/Datos!BG17),(((NºAsuntos!C17+NºAsuntos!E17)/NºAsuntos!G17)-Datos!BG17)/Datos!BG17," - ")</f>
        <v>-5.4519368723098913E-2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-4.7717842323651449E-2</v>
      </c>
      <c r="C18" s="855">
        <f>IF(ISNUMBER(
   IF(Criterios!B14="SI",(Datos!J18-Datos!T18)/Datos!T18,(Datos!J18+Datos!AD18-(Datos!T18+Datos!AL18))/(Datos!T18+Datos!AL18))
     ),IF(Criterios!B14="SI",(Datos!J18-Datos!T18)/Datos!T18,(Datos!J18+Datos!AD18-(Datos!T18+Datos!AL18))/(Datos!T18+Datos!AL18))," - ")</f>
        <v>0.10122908842608398</v>
      </c>
      <c r="D18" s="855">
        <f>IF(ISNUMBER(
   IF(Criterios!B14="SI",(Datos!K18-Datos!U18)/Datos!U18,(Datos!K18+Datos!AE18-(Datos!U18+Datos!AM18))/(Datos!U18+Datos!AM18))
     ),IF(Criterios!B14="SI",(Datos!K18-Datos!U18)/Datos!U18,(Datos!K18+Datos!AE18-(Datos!U18+Datos!AM18))/(Datos!U18+Datos!AM18))," - ")</f>
        <v>0.10910296799867351</v>
      </c>
      <c r="E18" s="855">
        <f>IF(ISNUMBER(
   IF(Criterios!B14="SI",(Datos!L18-Datos!V18)/Datos!V18,(Datos!L18+Datos!AF18-(Datos!V18+Datos!AN18))/(Datos!V18+Datos!AN18))
     ),IF(Criterios!B14="SI",(Datos!L18-Datos!V18)/Datos!V18,(Datos!L18+Datos!AF18-(Datos!V18+Datos!AN18))/(Datos!V18+Datos!AN18))," - ")</f>
        <v>-7.2583104605062523E-2</v>
      </c>
      <c r="F18" s="856">
        <f>IF(ISNUMBER((Datos!M18-Datos!W18)/Datos!W18),(Datos!M18-Datos!W18)/Datos!W18," - ")</f>
        <v>6.5326633165829151E-2</v>
      </c>
      <c r="G18" s="857">
        <f>IF(ISNUMBER((Datos!N18-Datos!X18)/Datos!X18),(Datos!N18-Datos!X18)/Datos!X18," - ")</f>
        <v>6.7148207597645795E-2</v>
      </c>
      <c r="H18" s="857">
        <f>IF(ISNUMBER(((NºAsuntos!G18/NºAsuntos!E18)-Datos!BD18)/Datos!BD18),((NºAsuntos!G18/NºAsuntos!E18)-Datos!BD18)/Datos!BD18," - ")</f>
        <v>7.1500831710168151E-3</v>
      </c>
      <c r="I18" s="857">
        <f>IF(ISNUMBER(((NºAsuntos!I18/NºAsuntos!G18)-Datos!BE18)/Datos!BE18),((NºAsuntos!I18/NºAsuntos!G18)-Datos!BE18)/Datos!BE18," - ")</f>
        <v>-0.16381353025461687</v>
      </c>
      <c r="J18" s="857">
        <f>IF(ISNUMBER((('Resol  Asuntos'!D18/NºAsuntos!G18)-Datos!BF18)/Datos!BF18),(('Resol  Asuntos'!D18/NºAsuntos!G18)-Datos!BF18)/Datos!BF18," - ")</f>
        <v>-3.9470036683642393E-2</v>
      </c>
      <c r="K18" s="857">
        <f>IF(ISNUMBER((((NºAsuntos!C18+NºAsuntos!E18)/NºAsuntos!G18)-Datos!BG18)/Datos!BG18),(((NºAsuntos!C18+NºAsuntos!E18)/NºAsuntos!G18)-Datos!BG18)/Datos!BG18," - ")</f>
        <v>-5.6179821860199798E-2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9.8246415719426522E-2</v>
      </c>
      <c r="C19" s="802">
        <f>IF(ISNUMBER(
   IF(J_V="SI",(Datos!J19-Datos!T19)/Datos!T19,(Datos!J19+Datos!Z19-(Datos!T19+Datos!AH19))/(Datos!T19+Datos!AH19))
     ),IF(J_V="SI",(Datos!J19-Datos!T19)/Datos!T19,(Datos!J19+Datos!Z19-(Datos!T19+Datos!AH19))/(Datos!T19+Datos!AH19))," - ")</f>
        <v>0.13730335227740714</v>
      </c>
      <c r="D19" s="802">
        <f>IF(ISNUMBER(
   IF(J_V="SI",(Datos!K19-Datos!U19)/Datos!U19,(Datos!K19+Datos!AA19-(Datos!U19+Datos!AI19))/(Datos!U19+Datos!AI19))
     ),IF(J_V="SI",(Datos!K19-Datos!U19)/Datos!U19,(Datos!K19+Datos!AA19-(Datos!U19+Datos!AI19))/(Datos!U19+Datos!AI19))," - ")</f>
        <v>0.16962426060151628</v>
      </c>
      <c r="E19" s="802">
        <f>IF(ISNUMBER(
   IF(J_V="SI",(Datos!L19-Datos!V19)/Datos!V19,(Datos!L19+Datos!AB19-(Datos!V19+Datos!AJ19))/(Datos!V19+Datos!AJ19))
     ),IF(J_V="SI",(Datos!L19-Datos!V19)/Datos!V19,(Datos!L19+Datos!AB19-(Datos!V19+Datos!AJ19))/(Datos!V19+Datos!AJ19))," - ")</f>
        <v>2.0471815810366337E-2</v>
      </c>
      <c r="F19" s="803">
        <f>IF(ISNUMBER((Datos!M19-Datos!W19)/Datos!W19),(Datos!M19-Datos!W19)/Datos!W19," - ")</f>
        <v>0.17033603707995365</v>
      </c>
      <c r="G19" s="804">
        <f>IF(ISNUMBER((Datos!N19-Datos!X19)/Datos!X19),(Datos!N19-Datos!X19)/Datos!X19," - ")</f>
        <v>8.4794389544150459E-2</v>
      </c>
      <c r="H19" s="805">
        <f>IF(ISNUMBER((Tasas!B19-Datos!BD19)/Datos!BD19),(Tasas!B19-Datos!BD19)/Datos!BD19," - ")</f>
        <v>2.8418898317135559E-2</v>
      </c>
      <c r="I19" s="806">
        <f>IF(ISNUMBER((Tasas!C19-Datos!BE19)/Datos!BE19),(Tasas!C19-Datos!BE19)/Datos!BE19," - ")</f>
        <v>-0.12752167496461092</v>
      </c>
      <c r="J19" s="807">
        <f>IF(ISNUMBER((Tasas!D19-Datos!BF19)/Datos!BF19),(Tasas!D19-Datos!BF19)/Datos!BF19," - ")</f>
        <v>-0.22087953697192628</v>
      </c>
      <c r="K19" s="807">
        <f>IF(ISNUMBER((Tasas!E19-Datos!BG19)/Datos!BG19),(Tasas!E19-Datos!BG19)/Datos!BG19," - ")</f>
        <v>-4.7351821886813035E-2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vCyCmT0EcLYClnMAlY4jUno8FdLv34gUx75Z1UrsqdUPa8LYlzesmTyp18UpNy0t/VggXtY1f1XiEqwwWbWmA==" saltValue="S+ze7wm79jg4jxrkhKBM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VIGO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1.0043296985246952</v>
      </c>
      <c r="C9" s="443">
        <f>IF(ISNUMBER(NºAsuntos!I9/NºAsuntos!G9),NºAsuntos!I9/NºAsuntos!G9," - ")</f>
        <v>2.189206450582788</v>
      </c>
      <c r="D9" s="444">
        <f>IF(ISNUMBER('Resol  Asuntos'!D9/NºAsuntos!G9),'Resol  Asuntos'!D9/NºAsuntos!G9," - ")</f>
        <v>0.30320932460482197</v>
      </c>
      <c r="E9" s="445">
        <f>IF(ISNUMBER((NºAsuntos!C9+NºAsuntos!E9)/NºAsuntos!G9),(NºAsuntos!C9+NºAsuntos!E9)/NºAsuntos!G9," - ")</f>
        <v>3.3595720900526902</v>
      </c>
      <c r="G9" s="463"/>
    </row>
    <row r="10" spans="1:7">
      <c r="A10" s="402" t="str">
        <f>Datos!A10</f>
        <v>Jdos. Violencia contra la mujer</v>
      </c>
      <c r="B10" s="442">
        <f>IF(ISNUMBER(NºAsuntos!G10/NºAsuntos!E10),NºAsuntos!G10/NºAsuntos!E10," - ")</f>
        <v>0.87096774193548387</v>
      </c>
      <c r="C10" s="443">
        <f>IF(ISNUMBER(NºAsuntos!I10/NºAsuntos!G10),NºAsuntos!I10/NºAsuntos!G10," - ")</f>
        <v>2.6666666666666665</v>
      </c>
      <c r="D10" s="444">
        <f>IF(ISNUMBER('Resol  Asuntos'!D10/NºAsuntos!G10),'Resol  Asuntos'!D10/NºAsuntos!G10," - ")</f>
        <v>0.33333333333333331</v>
      </c>
      <c r="E10" s="445">
        <f>IF(ISNUMBER((NºAsuntos!C10+NºAsuntos!E10)/NºAsuntos!G10),(NºAsuntos!C10+NºAsuntos!E10)/NºAsuntos!G10," - ")</f>
        <v>3.6666666666666665</v>
      </c>
      <c r="G10" s="463"/>
    </row>
    <row r="11" spans="1:7">
      <c r="A11" s="402" t="str">
        <f>Datos!A11</f>
        <v xml:space="preserve">Jdos. Familia                                   </v>
      </c>
      <c r="B11" s="442">
        <f>IF(ISNUMBER(NºAsuntos!G11/NºAsuntos!E11),NºAsuntos!G11/NºAsuntos!E11," - ")</f>
        <v>0.97247706422018354</v>
      </c>
      <c r="C11" s="443">
        <f>IF(ISNUMBER(NºAsuntos!I11/NºAsuntos!G11),NºAsuntos!I11/NºAsuntos!G11," - ")</f>
        <v>1.1047169811320754</v>
      </c>
      <c r="D11" s="444">
        <f>IF(ISNUMBER('Resol  Asuntos'!D11/NºAsuntos!G11),'Resol  Asuntos'!D11/NºAsuntos!G11," - ")</f>
        <v>0.25849056603773585</v>
      </c>
      <c r="E11" s="445">
        <f>IF(ISNUMBER((NºAsuntos!C11+NºAsuntos!E11)/NºAsuntos!G11),(NºAsuntos!C11+NºAsuntos!E11)/NºAsuntos!G11," - ")</f>
        <v>2.1047169811320754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0.99904852521408183</v>
      </c>
      <c r="C13" s="859">
        <f>IF(ISNUMBER(NºAsuntos!I13/NºAsuntos!G13),NºAsuntos!I13/NºAsuntos!G13," - ")</f>
        <v>2.0345578231292518</v>
      </c>
      <c r="D13" s="860">
        <f>IF(ISNUMBER('Resol  Asuntos'!D13/NºAsuntos!G13),'Resol  Asuntos'!D13/NºAsuntos!G13," - ")</f>
        <v>0.29687074829931975</v>
      </c>
      <c r="E13" s="861">
        <f>IF(ISNUMBER((NºAsuntos!C13+NºAsuntos!E13)/NºAsuntos!G13),(NºAsuntos!C13+NºAsuntos!E13)/NºAsuntos!G13," - ")</f>
        <v>3.1797278911564626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1.0343760182469859</v>
      </c>
      <c r="C15" s="443">
        <f>IF(ISNUMBER(NºAsuntos!I15/NºAsuntos!G15),NºAsuntos!I15/NºAsuntos!G15," - ")</f>
        <v>0.43471412820916677</v>
      </c>
      <c r="D15" s="444">
        <f>IF(ISNUMBER('Resol  Asuntos'!D15/NºAsuntos!G15),'Resol  Asuntos'!D15/NºAsuntos!G15," - ")</f>
        <v>0.12553157977634274</v>
      </c>
      <c r="E15" s="445">
        <f>IF(ISNUMBER((NºAsuntos!C15+NºAsuntos!E15)/NºAsuntos!G15),(NºAsuntos!C15+NºAsuntos!E15)/NºAsuntos!G15," - ")</f>
        <v>1.4183335958418648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1.0862619808306708</v>
      </c>
      <c r="C17" s="443">
        <f>IF(ISNUMBER(NºAsuntos!I17/NºAsuntos!G17),NºAsuntos!I17/NºAsuntos!G17," - ")</f>
        <v>0.82647058823529407</v>
      </c>
      <c r="D17" s="444">
        <f>IF(ISNUMBER('Resol  Asuntos'!D17/NºAsuntos!G17),'Resol  Asuntos'!D17/NºAsuntos!G17," - ")</f>
        <v>0.15</v>
      </c>
      <c r="E17" s="445">
        <f>IF(ISNUMBER((NºAsuntos!C17+NºAsuntos!E17)/NºAsuntos!G17),(NºAsuntos!C17+NºAsuntos!E17)/NºAsuntos!G17," - ")</f>
        <v>1.9382352941176471</v>
      </c>
      <c r="G17" s="463"/>
    </row>
    <row r="18" spans="1:7" ht="14.25" thickTop="1" thickBot="1">
      <c r="A18" s="848" t="str">
        <f>Datos!A18</f>
        <v>TOTAL</v>
      </c>
      <c r="B18" s="858">
        <f>IF(ISNUMBER(NºAsuntos!G18/NºAsuntos!E18),NºAsuntos!G18/NºAsuntos!E18," - ")</f>
        <v>1.0368935048829639</v>
      </c>
      <c r="C18" s="859">
        <f>IF(ISNUMBER(NºAsuntos!I18/NºAsuntos!G18),NºAsuntos!I18/NºAsuntos!G18," - ")</f>
        <v>0.45462699955150249</v>
      </c>
      <c r="D18" s="862">
        <f>IF(ISNUMBER('Resol  Asuntos'!D18/NºAsuntos!G18),'Resol  Asuntos'!D18/NºAsuntos!G18," - ")</f>
        <v>0.12677530273583495</v>
      </c>
      <c r="E18" s="861">
        <f>IF(ISNUMBER((NºAsuntos!C18+NºAsuntos!E18)/NºAsuntos!G18),(NºAsuntos!C18+NºAsuntos!E18)/NºAsuntos!G18," - ")</f>
        <v>1.4447600538197041</v>
      </c>
      <c r="G18" s="463"/>
    </row>
    <row r="19" spans="1:7" ht="15.75" customHeight="1" thickTop="1" thickBot="1">
      <c r="A19" s="793" t="str">
        <f>Datos!A19</f>
        <v>TOTAL JURISDICCIONES</v>
      </c>
      <c r="B19" s="808">
        <f>IF(ISNUMBER(NºAsuntos!G19/NºAsuntos!E19),NºAsuntos!G19/NºAsuntos!E19," - ")</f>
        <v>1.0167294322132097</v>
      </c>
      <c r="C19" s="809">
        <f>IF(ISNUMBER(NºAsuntos!I19/NºAsuntos!G19),NºAsuntos!I19/NºAsuntos!G19," - ")</f>
        <v>1.2817864520264977</v>
      </c>
      <c r="D19" s="810">
        <f>IF(ISNUMBER('Resol  Asuntos'!D19/NºAsuntos!G19),'Resol  Asuntos'!D19/NºAsuntos!G19," - ")</f>
        <v>0.21582733812949639</v>
      </c>
      <c r="E19" s="811">
        <f>IF(ISNUMBER((NºAsuntos!C19+NºAsuntos!E19)/NºAsuntos!G19),(NºAsuntos!C19+NºAsuntos!E19)/NºAsuntos!G19," - ")</f>
        <v>2.3530878267682884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wwwbsqIPhxH9g2XhAOOiU/MzTX4qjf84ahZwHOhvIDq3E5ijvhXOvZW/PUF0+fB/vte9G3x2QmXWNXFmAhQ2g==" saltValue="waqnR1/vgPxqePEBo4Dy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1166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795</v>
      </c>
      <c r="Y9" s="334">
        <f>SUM(W9:X9)</f>
        <v>795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16337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1899</v>
      </c>
      <c r="AJ9" s="229" t="str">
        <f>IF(ISNUMBER(Datos!BW9),Datos!BW9," - ")</f>
        <v xml:space="preserve"> - </v>
      </c>
      <c r="AK9" s="228" t="str">
        <f>IF(ISNUMBER(Datos!BX9),Datos!BX9," - ")</f>
        <v xml:space="preserve"> - </v>
      </c>
      <c r="AL9" s="243">
        <f>IF(ISNUMBER(NºAsuntos!G9/NºAsuntos!E9),NºAsuntos!G9/NºAsuntos!E9," - ")</f>
        <v>1.0043296985246952</v>
      </c>
      <c r="AM9" s="260">
        <f>IF(ISNUMBER(((NºAsuntos!I9/NºAsuntos!G9)*11)/factor_trimestre),((NºAsuntos!I9/NºAsuntos!G9)*11)/factor_trimestre," - ")</f>
        <v>6.5676193517483634</v>
      </c>
      <c r="AN9" s="244">
        <f>IF(ISNUMBER('Resol  Asuntos'!D9/NºAsuntos!G9),'Resol  Asuntos'!D9/NºAsuntos!G9," - ")</f>
        <v>0.30320932460482197</v>
      </c>
      <c r="AO9" s="245">
        <f>IF(ISNUMBER((NºAsuntos!C9+NºAsuntos!E9)/NºAsuntos!G9),(NºAsuntos!C9+NºAsuntos!E9)/NºAsuntos!G9," - ")</f>
        <v>3.3595720900526902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68</v>
      </c>
      <c r="G10" s="333">
        <f>IF(ISNUMBER(Datos!I10),Datos!I10," - ")</f>
        <v>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6</v>
      </c>
      <c r="Y10" s="334">
        <f t="shared" ref="Y10:Y12" si="0">SUM(W10:X10)</f>
        <v>33</v>
      </c>
      <c r="Z10" s="335" t="str">
        <f>IF(ISNUMBER(Datos!CC10),Datos!CC10," - ")</f>
        <v xml:space="preserve"> - </v>
      </c>
      <c r="AA10" s="332">
        <f>IF(ISNUMBER(Datos!L10),Datos!L10,"-")</f>
        <v>72</v>
      </c>
      <c r="AB10" s="334">
        <f>IF(ISNUMBER(Datos!R10),Datos!R10," - ")</f>
        <v>76</v>
      </c>
      <c r="AC10" s="334">
        <f t="shared" ref="AC10:AC12" si="1">IF(ISNUMBER(AA10+AB10),AA10+AB10," - ")</f>
        <v>148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0.87096774193548387</v>
      </c>
      <c r="AM10" s="260">
        <f>IF(ISNUMBER(((NºAsuntos!I10/NºAsuntos!G10)*11)/factor_trimestre),((NºAsuntos!I10/NºAsuntos!G10)*11)/factor_trimestre," - ")</f>
        <v>8</v>
      </c>
      <c r="AN10" s="244">
        <f>IF(ISNUMBER('Resol  Asuntos'!D10/NºAsuntos!G10),'Resol  Asuntos'!D10/NºAsuntos!G10," - ")</f>
        <v>0.33333333333333331</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72</v>
      </c>
      <c r="Y11" s="334">
        <f t="shared" si="0"/>
        <v>72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678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274</v>
      </c>
      <c r="AJ11" s="231" t="str">
        <f>IF(ISNUMBER(Datos!BW11),Datos!BW11," - ")</f>
        <v xml:space="preserve"> - </v>
      </c>
      <c r="AK11" s="232" t="str">
        <f>IF(ISNUMBER(Datos!BX11),Datos!BX11," - ")</f>
        <v xml:space="preserve"> - </v>
      </c>
      <c r="AL11" s="243">
        <f>IF(ISNUMBER(NºAsuntos!G11/NºAsuntos!E11),NºAsuntos!G11/NºAsuntos!E11," - ")</f>
        <v>0.97247706422018354</v>
      </c>
      <c r="AM11" s="260">
        <f>IF(ISNUMBER(((NºAsuntos!I11/NºAsuntos!G11)*11)/factor_trimestre),((NºAsuntos!I11/NºAsuntos!G11)*11)/factor_trimestre," - ")</f>
        <v>3.3141509433962266</v>
      </c>
      <c r="AN11" s="244">
        <f>IF(ISNUMBER('Resol  Asuntos'!D11/NºAsuntos!G11),'Resol  Asuntos'!D11/NºAsuntos!G11," - ")</f>
        <v>0.25849056603773585</v>
      </c>
      <c r="AO11" s="245">
        <f>IF(ISNUMBER((NºAsuntos!C11+NºAsuntos!E11)/NºAsuntos!G11),(NºAsuntos!C11+NºAsuntos!E11)/NºAsuntos!G11," - ")</f>
        <v>2.1047169811320754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68</v>
      </c>
      <c r="G13" s="866">
        <f t="shared" si="3"/>
        <v>68</v>
      </c>
      <c r="H13" s="865">
        <f t="shared" si="3"/>
        <v>0</v>
      </c>
      <c r="I13" s="867">
        <f t="shared" si="3"/>
        <v>0</v>
      </c>
      <c r="J13" s="867">
        <f t="shared" si="3"/>
        <v>0</v>
      </c>
      <c r="K13" s="867">
        <f t="shared" si="3"/>
        <v>0</v>
      </c>
      <c r="L13" s="867">
        <f t="shared" si="3"/>
        <v>1249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873</v>
      </c>
      <c r="Y13" s="868">
        <f t="shared" si="4"/>
        <v>900</v>
      </c>
      <c r="Z13" s="868">
        <f t="shared" si="4"/>
        <v>0</v>
      </c>
      <c r="AA13" s="868">
        <f t="shared" si="4"/>
        <v>72</v>
      </c>
      <c r="AB13" s="868">
        <f t="shared" si="4"/>
        <v>17091</v>
      </c>
      <c r="AC13" s="868">
        <f t="shared" si="4"/>
        <v>148</v>
      </c>
      <c r="AD13" s="868">
        <f t="shared" si="4"/>
        <v>0</v>
      </c>
      <c r="AE13" s="872">
        <f t="shared" si="4"/>
        <v>0</v>
      </c>
      <c r="AF13" s="865">
        <f t="shared" si="4"/>
        <v>0</v>
      </c>
      <c r="AG13" s="873">
        <f t="shared" si="4"/>
        <v>0</v>
      </c>
      <c r="AH13" s="870">
        <f t="shared" si="4"/>
        <v>0</v>
      </c>
      <c r="AI13" s="865">
        <f t="shared" si="4"/>
        <v>2182</v>
      </c>
      <c r="AJ13" s="867">
        <f t="shared" si="4"/>
        <v>0</v>
      </c>
      <c r="AK13" s="870">
        <f>SUBTOTAL(9,AK9:AK12)</f>
        <v>0</v>
      </c>
      <c r="AL13" s="874">
        <f>IF(ISNUMBER(NºAsuntos!G13/NºAsuntos!E13),NºAsuntos!G13/NºAsuntos!E13," - ")</f>
        <v>0.99904852521408183</v>
      </c>
      <c r="AM13" s="874">
        <f>IF(ISNUMBER(((NºAsuntos!I13/NºAsuntos!G13)*11)/factor_trimestre),((NºAsuntos!I13/NºAsuntos!G13)*11)/factor_trimestre," - ")</f>
        <v>6.103673469387755</v>
      </c>
      <c r="AN13" s="875">
        <f>IF(ISNUMBER('Resol  Asuntos'!D13/NºAsuntos!G13),'Resol  Asuntos'!D13/NºAsuntos!G13," - ")</f>
        <v>0.29687074829931975</v>
      </c>
      <c r="AO13" s="876">
        <f>IF(ISNUMBER((NºAsuntos!C13+NºAsuntos!E13)/NºAsuntos!G13),(NºAsuntos!C13+NºAsuntos!E13)/NºAsuntos!G13," - ")</f>
        <v>3.1797278911564626</v>
      </c>
      <c r="AP13" s="877" t="str">
        <f t="shared" si="2"/>
        <v xml:space="preserve"> - </v>
      </c>
      <c r="AQ13" s="877">
        <f>IF(ISNUMBER((H13-W13+K13)/(F13)),(H13-W13+K13)/(F13)," - ")</f>
        <v>-0.39705882352941174</v>
      </c>
      <c r="AR13" s="878">
        <f>IF(ISNUMBER((Datos!P13-Datos!Q13)/(Datos!R13-Datos!P13+Datos!Q13)),(Datos!P13-Datos!Q13)/(Datos!R13-Datos!P13+Datos!Q13)," - ")</f>
        <v>2.2494765180975172E-2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2971</v>
      </c>
      <c r="G15" s="333">
        <f>IF(ISNUMBER(IF(D_I="SI",Datos!I15,Datos!I15+Datos!AC15)),IF(D_I="SI",Datos!I15,Datos!I15+Datos!AC15)," - ")</f>
        <v>2867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358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6349</v>
      </c>
      <c r="X15" s="226">
        <f>IF(ISNUMBER(Datos!Q15),Datos!Q15," - ")</f>
        <v>415</v>
      </c>
      <c r="Y15" s="334">
        <f>SUM(W15)</f>
        <v>6349</v>
      </c>
      <c r="Z15" s="335" t="str">
        <f>IF(ISNUMBER(Datos!CC15),Datos!CC15," - ")</f>
        <v xml:space="preserve"> - </v>
      </c>
      <c r="AA15" s="332">
        <f>IF(ISNUMBER(IF(D_I="SI",Datos!L15,Datos!L15+Datos!AF15)),IF(D_I="SI",Datos!L15,Datos!L15+Datos!AF15)," - ")</f>
        <v>2760</v>
      </c>
      <c r="AB15" s="334">
        <f>IF(ISNUMBER(Datos!R15),Datos!R15," - ")</f>
        <v>667</v>
      </c>
      <c r="AC15" s="334">
        <f t="shared" ref="AC15:AC17" si="6">IF(ISNUMBER(AA15+AB15),AA15+AB15," - ")</f>
        <v>3427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797</v>
      </c>
      <c r="AJ15" s="231" t="str">
        <f>IF(ISNUMBER(Datos!BW15),Datos!BW15," - ")</f>
        <v xml:space="preserve"> - </v>
      </c>
      <c r="AK15" s="232" t="str">
        <f>IF(ISNUMBER(Datos!BX15),Datos!BX15," - ")</f>
        <v xml:space="preserve"> - </v>
      </c>
      <c r="AL15" s="243">
        <f>IF(ISNUMBER(NºAsuntos!G15/NºAsuntos!E15),NºAsuntos!G15/NºAsuntos!E15," - ")</f>
        <v>1.0343760182469859</v>
      </c>
      <c r="AM15" s="260">
        <f>IF(ISNUMBER(((NºAsuntos!I15/NºAsuntos!G15)*11)/factor_trimestre),((NºAsuntos!I15/NºAsuntos!G15)*11)/factor_trimestre," - ")</f>
        <v>1.3041423846275004</v>
      </c>
      <c r="AN15" s="244">
        <f>IF(ISNUMBER('Resol  Asuntos'!D15/NºAsuntos!G15),'Resol  Asuntos'!D15/NºAsuntos!G15," - ")</f>
        <v>0.12553157977634274</v>
      </c>
      <c r="AO15" s="245">
        <f>IF(ISNUMBER((NºAsuntos!C15+NºAsuntos!E15)/NºAsuntos!G15),(NºAsuntos!C15+NºAsuntos!E15)/NºAsuntos!G15," - ")</f>
        <v>1.4183335958418648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340</v>
      </c>
      <c r="X17" s="226">
        <f>IF(ISNUMBER(Datos!Q17),Datos!Q17," - ")</f>
        <v>4</v>
      </c>
      <c r="Y17" s="334">
        <f t="shared" si="7"/>
        <v>344</v>
      </c>
      <c r="Z17" s="335" t="str">
        <f>IF(ISNUMBER(Datos!CC17),Datos!CC17," - ")</f>
        <v xml:space="preserve"> - </v>
      </c>
      <c r="AA17" s="332">
        <f>IF(ISNUMBER(Datos!L17),Datos!L17,"-")</f>
        <v>281</v>
      </c>
      <c r="AB17" s="334">
        <f>IF(ISNUMBER(Datos!R17),Datos!R17," - ")</f>
        <v>3</v>
      </c>
      <c r="AC17" s="334">
        <f t="shared" si="6"/>
        <v>284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51</v>
      </c>
      <c r="AJ17" s="231" t="str">
        <f>IF(ISNUMBER(Datos!BW17),Datos!BW17," - ")</f>
        <v xml:space="preserve"> - </v>
      </c>
      <c r="AK17" s="232" t="str">
        <f>IF(ISNUMBER(Datos!BX17),Datos!BX17," - ")</f>
        <v xml:space="preserve"> - </v>
      </c>
      <c r="AL17" s="243">
        <f>IF(ISNUMBER(NºAsuntos!G17/NºAsuntos!E17),NºAsuntos!G17/NºAsuntos!E17," - ")</f>
        <v>1.0862619808306708</v>
      </c>
      <c r="AM17" s="260">
        <f>IF(ISNUMBER(((NºAsuntos!I17/NºAsuntos!G17)*11)/factor_trimestre),((NºAsuntos!I17/NºAsuntos!G17)*11)/factor_trimestre," - ")</f>
        <v>2.479411764705882</v>
      </c>
      <c r="AN17" s="244">
        <f>IF(ISNUMBER('Resol  Asuntos'!D17/NºAsuntos!G17),'Resol  Asuntos'!D17/NºAsuntos!G17," - ")</f>
        <v>0.15</v>
      </c>
      <c r="AO17" s="245">
        <f>IF(ISNUMBER((NºAsuntos!C17+NºAsuntos!E17)/NºAsuntos!G17),(NºAsuntos!C17+NºAsuntos!E17)/NºAsuntos!G17," - ")</f>
        <v>1.9382352941176471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2971</v>
      </c>
      <c r="G18" s="866">
        <f>SUBTOTAL(9,G15:G17)</f>
        <v>3213</v>
      </c>
      <c r="H18" s="865">
        <f t="shared" ref="H18:O18" si="10">SUBTOTAL(9,H14:H17)</f>
        <v>0</v>
      </c>
      <c r="I18" s="867">
        <f t="shared" si="10"/>
        <v>0</v>
      </c>
      <c r="J18" s="867">
        <f t="shared" si="10"/>
        <v>0</v>
      </c>
      <c r="K18" s="867">
        <f t="shared" si="10"/>
        <v>0</v>
      </c>
      <c r="L18" s="867">
        <f t="shared" si="10"/>
        <v>363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6689</v>
      </c>
      <c r="X18" s="867">
        <f t="shared" si="11"/>
        <v>419</v>
      </c>
      <c r="Y18" s="868">
        <f t="shared" si="11"/>
        <v>6693</v>
      </c>
      <c r="Z18" s="868">
        <f t="shared" si="11"/>
        <v>0</v>
      </c>
      <c r="AA18" s="868">
        <f t="shared" si="11"/>
        <v>3041</v>
      </c>
      <c r="AB18" s="868">
        <f t="shared" si="11"/>
        <v>670</v>
      </c>
      <c r="AC18" s="868">
        <f t="shared" si="11"/>
        <v>3711</v>
      </c>
      <c r="AD18" s="868">
        <f t="shared" si="11"/>
        <v>0</v>
      </c>
      <c r="AE18" s="872">
        <f t="shared" si="11"/>
        <v>0</v>
      </c>
      <c r="AF18" s="865">
        <f t="shared" si="11"/>
        <v>0</v>
      </c>
      <c r="AG18" s="873">
        <f t="shared" si="11"/>
        <v>0</v>
      </c>
      <c r="AH18" s="870">
        <f t="shared" si="11"/>
        <v>0</v>
      </c>
      <c r="AI18" s="865">
        <f t="shared" si="11"/>
        <v>848</v>
      </c>
      <c r="AJ18" s="867">
        <f t="shared" si="11"/>
        <v>0</v>
      </c>
      <c r="AK18" s="870">
        <f t="shared" si="11"/>
        <v>0</v>
      </c>
      <c r="AL18" s="874">
        <f>IF(ISNUMBER(NºAsuntos!G18/NºAsuntos!E18),NºAsuntos!G18/NºAsuntos!E18," - ")</f>
        <v>1.0368935048829639</v>
      </c>
      <c r="AM18" s="874">
        <f>IF(ISNUMBER(((NºAsuntos!I18/NºAsuntos!G18)*11)/factor_trimestre),((NºAsuntos!I18/NºAsuntos!G18)*11)/factor_trimestre," - ")</f>
        <v>1.3638809986545075</v>
      </c>
      <c r="AN18" s="875">
        <f>IF(ISNUMBER('Resol  Asuntos'!D18/NºAsuntos!G18),'Resol  Asuntos'!D18/NºAsuntos!G18," - ")</f>
        <v>0.12677530273583495</v>
      </c>
      <c r="AO18" s="876">
        <f>IF(ISNUMBER((NºAsuntos!C18+NºAsuntos!E18)/NºAsuntos!G18),(NºAsuntos!C18+NºAsuntos!E18)/NºAsuntos!G18," - ")</f>
        <v>1.4447600538197041</v>
      </c>
      <c r="AP18" s="877" t="str">
        <f t="shared" si="2"/>
        <v xml:space="preserve"> - </v>
      </c>
      <c r="AQ18" s="877">
        <f>IF(ISNUMBER((H18-W18+K18)/(F18)),(H18-W18+K18)/(F18)," - ")</f>
        <v>-2.2514304947829014</v>
      </c>
      <c r="AR18" s="878">
        <f>IF(ISNUMBER((Datos!P18-Datos!Q18)/(Datos!R18-Datos!P18+Datos!Q18)),(Datos!P18-Datos!Q18)/(Datos!R18-Datos!P18+Datos!Q18)," - ")</f>
        <v>-7.7134986225895319E-2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3039</v>
      </c>
      <c r="G19" s="821">
        <f t="shared" si="13"/>
        <v>3281</v>
      </c>
      <c r="H19" s="820">
        <f t="shared" si="13"/>
        <v>0</v>
      </c>
      <c r="I19" s="822">
        <f t="shared" si="13"/>
        <v>0</v>
      </c>
      <c r="J19" s="822">
        <f t="shared" si="13"/>
        <v>0</v>
      </c>
      <c r="K19" s="881">
        <f t="shared" si="13"/>
        <v>0</v>
      </c>
      <c r="L19" s="822">
        <f t="shared" si="13"/>
        <v>1612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6716</v>
      </c>
      <c r="X19" s="821">
        <f t="shared" si="14"/>
        <v>1292</v>
      </c>
      <c r="Y19" s="828">
        <f t="shared" si="14"/>
        <v>7593</v>
      </c>
      <c r="Z19" s="828">
        <f t="shared" si="14"/>
        <v>0</v>
      </c>
      <c r="AA19" s="828">
        <f t="shared" si="14"/>
        <v>3113</v>
      </c>
      <c r="AB19" s="828">
        <f t="shared" si="14"/>
        <v>17761</v>
      </c>
      <c r="AC19" s="828">
        <f t="shared" si="14"/>
        <v>3859</v>
      </c>
      <c r="AD19" s="828">
        <f t="shared" si="14"/>
        <v>0</v>
      </c>
      <c r="AE19" s="830">
        <f t="shared" si="14"/>
        <v>0</v>
      </c>
      <c r="AF19" s="831">
        <f t="shared" si="14"/>
        <v>0</v>
      </c>
      <c r="AG19" s="832">
        <f t="shared" si="14"/>
        <v>0</v>
      </c>
      <c r="AH19" s="830">
        <f t="shared" si="14"/>
        <v>0</v>
      </c>
      <c r="AI19" s="820">
        <f t="shared" si="14"/>
        <v>3030</v>
      </c>
      <c r="AJ19" s="820">
        <f t="shared" si="14"/>
        <v>0</v>
      </c>
      <c r="AK19" s="830">
        <f t="shared" si="14"/>
        <v>0</v>
      </c>
      <c r="AL19" s="884">
        <f>IF(ISNUMBER(NºAsuntos!G19/NºAsuntos!E19),NºAsuntos!G19/NºAsuntos!E19," - ")</f>
        <v>1.0167294322132097</v>
      </c>
      <c r="AM19" s="885">
        <f>IF(ISNUMBER(((NºAsuntos!I19/NºAsuntos!G19)*11)/factor_trimestre),((NºAsuntos!I19/NºAsuntos!G19)*11)/factor_trimestre," - ")</f>
        <v>3.8453593560794932</v>
      </c>
      <c r="AN19" s="885">
        <f>IF(ISNUMBER('Resol  Asuntos'!D19/NºAsuntos!G19),'Resol  Asuntos'!D19/NºAsuntos!G19," - ")</f>
        <v>0.21582733812949639</v>
      </c>
      <c r="AO19" s="886">
        <f>IF(ISNUMBER((NºAsuntos!C19+NºAsuntos!E19)/NºAsuntos!G19),(NºAsuntos!C19+NºAsuntos!E19)/NºAsuntos!G19," - ")</f>
        <v>2.3530878267682884</v>
      </c>
      <c r="AP19" s="887" t="str">
        <f t="shared" si="2"/>
        <v xml:space="preserve"> - </v>
      </c>
      <c r="AQ19" s="888">
        <f>IF(OR(ISNUMBER(FIND("01",Criterios!A8,1)),ISNUMBER(FIND("02",Criterios!A8,1)),ISNUMBER(FIND("03",Criterios!A8,1)),ISNUMBER(FIND("04",Criterios!A8,1))),(I19-W19+K19)/(F19-K19),(H19-W19+K19)/(F19-K19))</f>
        <v>-2.2099374794340245</v>
      </c>
      <c r="AR19" s="889">
        <f>IF(ISNUMBER((Datos!P19-Datos!Q19)/(Datos!R19-Datos!P19+Datos!Q19)),(Datos!P19-Datos!Q19)/(Datos!R19-Datos!P19+Datos!Q19)," - ")</f>
        <v>1.8347571813542803E-2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1676.0478314574837</v>
      </c>
      <c r="G21" s="253">
        <f>IF(ISNUMBER(STDEV(G8:G18)),STDEV(G8:G18),"-")</f>
        <v>1585.8793459781232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3503.0649151849871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871.12641912367576</v>
      </c>
      <c r="AJ21" s="252">
        <f t="shared" si="18"/>
        <v>0</v>
      </c>
      <c r="AK21" s="254">
        <f t="shared" si="18"/>
        <v>0</v>
      </c>
      <c r="AL21" s="249">
        <f t="shared" si="18"/>
        <v>6.7586671549070693E-2</v>
      </c>
      <c r="AM21" s="250">
        <f t="shared" si="18"/>
        <v>2.7029032365048291</v>
      </c>
      <c r="AN21" s="250">
        <f t="shared" si="18"/>
        <v>9.0603685902832853E-2</v>
      </c>
      <c r="AO21" s="251">
        <f t="shared" si="18"/>
        <v>0.93949119268982384</v>
      </c>
      <c r="AP21" s="291" t="str">
        <f t="shared" si="18"/>
        <v>-</v>
      </c>
      <c r="AQ21" s="292">
        <f t="shared" si="18"/>
        <v>1.3112387835835737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mzDNF1Lhcyv9wmeR9HAC2F+gq+A7ZJhzQbSNQ2y5Fc/odySkkuef8q+LsTWdhhZx6kzria+LAebvEUZghXu+Q==" saltValue="SUz+IexTz0ISLEB43Exn2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VIGO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0.26347305389221559</v>
      </c>
      <c r="I9" s="350">
        <f>IF(ISNUMBER((Tasas!C9-Datos!BE9)/Datos!BE9),(Tasas!C9-Datos!BE9)/Datos!BE9," - ")</f>
        <v>-0.14650183705872921</v>
      </c>
      <c r="J9" s="349">
        <f>IF(ISNUMBER((Tasas!D9-Datos!BF9)/Datos!BF9),(Tasas!D9-Datos!BF9)/Datos!BF9," - ")</f>
        <v>-0.22391548323170116</v>
      </c>
      <c r="K9" s="351">
        <f>IF(ISNUMBER((Tasas!E9-Datos!BG9)/Datos!BG9),(Tasas!E9-Datos!BG9)/Datos!BG9," - ")</f>
        <v>-6.2335154485912675E-2</v>
      </c>
      <c r="M9" t="e">
        <f>IF(Monitorios="SI",Datos!CE9,0)</f>
        <v>#REF!</v>
      </c>
      <c r="N9" t="e">
        <f>IF(Monitorios="SI",Datos!CF9,0)</f>
        <v>#REF!</v>
      </c>
      <c r="O9" t="e">
        <f>IF(Monitorios="SI",Datos!CG9,0)</f>
        <v>#REF!</v>
      </c>
      <c r="P9" t="e">
        <f>IF(Monitorios="SI",Datos!CH9,0)</f>
        <v>#REF!</v>
      </c>
      <c r="Q9">
        <f>IF(J_V="SI",0,Datos!AG9)</f>
        <v>489</v>
      </c>
      <c r="R9">
        <f>IF(J_V="SI",0,Datos!AH9)</f>
        <v>254</v>
      </c>
      <c r="S9">
        <f>IF(J_V="SI",0,Datos!AI9)</f>
        <v>253</v>
      </c>
      <c r="T9">
        <f>IF(J_V="SI",0,Datos!AJ9)</f>
        <v>490</v>
      </c>
    </row>
    <row r="10" spans="2:20" ht="14.25">
      <c r="B10" s="275" t="s">
        <v>246</v>
      </c>
      <c r="C10" s="7" t="str">
        <f>Datos!A10</f>
        <v>Jdos. Violencia contra la mujer</v>
      </c>
      <c r="D10" s="352">
        <f>IF(ISNUMBER((Datos!I10-Datos!S10)/Datos!S10),(Datos!I10-Datos!S10)/Datos!S10," - ")</f>
        <v>-5.5555555555555552E-2</v>
      </c>
      <c r="E10" s="348">
        <f>IF(ISNUMBER((Datos!J10-Datos!T10)/Datos!T10),(Datos!J10-Datos!T10)/Datos!T10," - ")</f>
        <v>0.40909090909090912</v>
      </c>
      <c r="F10" s="348">
        <f>IF(ISNUMBER((Datos!K10-Datos!U10)/Datos!U10),(Datos!K10-Datos!U10)/Datos!U10," - ")</f>
        <v>0.22727272727272727</v>
      </c>
      <c r="G10" s="349">
        <f>IF(ISNUMBER((Datos!L10-Datos!V10)/Datos!V10),(Datos!L10-Datos!V10)/Datos!V10," - ")</f>
        <v>0</v>
      </c>
      <c r="H10" s="230">
        <f>IF(ISNUMBER((Datos!M10-Datos!W10)/Datos!W10),(Datos!M10-Datos!W10)/Datos!W10," - ")</f>
        <v>2</v>
      </c>
      <c r="I10" s="350">
        <f>IF(ISNUMBER((Tasas!C10-Datos!BE10)/Datos!BE10),(Tasas!C10-Datos!BE10)/Datos!BE10," - ")</f>
        <v>-0.18518518518518529</v>
      </c>
      <c r="J10" s="349">
        <f>IF(ISNUMBER((Tasas!D10-Datos!BF10)/Datos!BF10),(Tasas!D10-Datos!BF10)/Datos!BF10," - ")</f>
        <v>1.4444444444444444</v>
      </c>
      <c r="K10" s="351">
        <f>IF(ISNUMBER((Tasas!E10-Datos!BG10)/Datos!BG10),(Tasas!E10-Datos!BG10)/Datos!BG10," - ")</f>
        <v>-0.14184397163120566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-4.5296167247386762E-2</v>
      </c>
      <c r="I11" s="350">
        <f>IF(ISNUMBER((Tasas!C11-Datos!BE11)/Datos!BE11),(Tasas!C11-Datos!BE11)/Datos!BE11," - ")</f>
        <v>-0.29790363143763143</v>
      </c>
      <c r="J11" s="349">
        <f>IF(ISNUMBER((Tasas!D11-Datos!BF11)/Datos!BF11),(Tasas!D11-Datos!BF11)/Datos!BF11," - ")</f>
        <v>-0.56536594773552762</v>
      </c>
      <c r="K11" s="351">
        <f>IF(ISNUMBER((Tasas!E11-Datos!BG11)/Datos!BG11),(Tasas!E11-Datos!BG11)/Datos!BG11," - ")</f>
        <v>-0.18214344079631561</v>
      </c>
      <c r="M11" t="e">
        <f>IF(Monitorios="SI",Datos!CE11,0)</f>
        <v>#REF!</v>
      </c>
      <c r="N11" t="e">
        <f>IF(Monitorios="SI",Datos!CF11,0)</f>
        <v>#REF!</v>
      </c>
      <c r="O11" t="e">
        <f>IF(Monitorios="SI",Datos!CG11,0)</f>
        <v>#REF!</v>
      </c>
      <c r="P11" t="e">
        <f>IF(Monitorios="SI",Datos!CH11,0)</f>
        <v>#REF!</v>
      </c>
      <c r="Q11">
        <f>IF(J_V="SI",0,Datos!AG11)</f>
        <v>73</v>
      </c>
      <c r="R11">
        <f>IF(J_V="SI",0,Datos!AH11)</f>
        <v>392</v>
      </c>
      <c r="S11">
        <f>IF(J_V="SI",0,Datos!AI11)</f>
        <v>362</v>
      </c>
      <c r="T11">
        <f>IF(J_V="SI",0,Datos!AJ11)</f>
        <v>103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0.2169548243167875</v>
      </c>
      <c r="I13" s="357">
        <f>IF(ISNUMBER((Tasas!C13-Datos!BE13)/Datos!BE13),(Tasas!C13-Datos!BE13)/Datos!BE13," - ")</f>
        <v>-0.15357859145051259</v>
      </c>
      <c r="J13" s="355">
        <f>IF(ISNUMBER((Tasas!D13-Datos!BF13)/Datos!BF13),(Tasas!D13-Datos!BF13)/Datos!BF13," - ")</f>
        <v>-0.2989671376656633</v>
      </c>
      <c r="K13" s="358">
        <f>IF(ISNUMBER((Tasas!E13-Datos!BG13)/Datos!BG13),(Tasas!E13-Datos!BG13)/Datos!BG13," - ")</f>
        <v>-6.9879752841575535E-2</v>
      </c>
      <c r="M13" t="e">
        <f>IF(Monitorios="SI",Datos!CE13,0)</f>
        <v>#REF!</v>
      </c>
      <c r="N13" t="e">
        <f>IF(Monitorios="SI",Datos!CF13,0)</f>
        <v>#REF!</v>
      </c>
      <c r="O13" t="e">
        <f>IF(Monitorios="SI",Datos!CG13,0)</f>
        <v>#REF!</v>
      </c>
      <c r="P13" t="e">
        <f>IF(Monitorios="SI",Datos!CH13,0)</f>
        <v>#REF!</v>
      </c>
      <c r="Q13">
        <f>IF(J_V="SI",0,Datos!AG13)</f>
        <v>562</v>
      </c>
      <c r="R13">
        <f>IF(J_V="SI",0,Datos!AH13)</f>
        <v>646</v>
      </c>
      <c r="S13">
        <f>IF(J_V="SI",0,Datos!AI13)</f>
        <v>615</v>
      </c>
      <c r="T13">
        <f>IF(J_V="SI",0,Datos!AJ13)</f>
        <v>593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-7.4564234990316336E-2</v>
      </c>
      <c r="E15" s="348">
        <f>IF(ISNUMBER(
   IF(D_I="SI",(Datos!J15-Datos!T15)/Datos!T15,(Datos!J15+Datos!AD15-(Datos!T15+Datos!AL15))/(Datos!T15+Datos!AL15))
     ),IF(D_I="SI",(Datos!J15-Datos!T15)/Datos!T15,(Datos!J15+Datos!AD15-(Datos!T15+Datos!AL15))/(Datos!T15+Datos!AL15))," - ")</f>
        <v>0.11215799963761551</v>
      </c>
      <c r="F15" s="348">
        <f>IF(ISNUMBER(
   IF(D_I="SI",(Datos!K15-Datos!U15)/Datos!U15,(Datos!K15+Datos!AE15-(Datos!U15+Datos!AM15))/(Datos!U15+Datos!AM15))
     ),IF(D_I="SI",(Datos!K15-Datos!U15)/Datos!U15,(Datos!K15+Datos!AE15-(Datos!U15+Datos!AM15))/(Datos!U15+Datos!AM15))," - ")</f>
        <v>0.10783458384226138</v>
      </c>
      <c r="G15" s="349">
        <f>IF(ISNUMBER(
   IF(D_I="SI",(Datos!L15-Datos!V15)/Datos!V15,(Datos!L15+Datos!AF15-(Datos!V15+Datos!AN15))/(Datos!V15+Datos!AN15))
     ),IF(D_I="SI",(Datos!L15-Datos!V15)/Datos!V15,(Datos!L15+Datos!AF15-(Datos!V15+Datos!AN15))/(Datos!V15+Datos!AN15))," - ")</f>
        <v>-6.8825910931174086E-2</v>
      </c>
      <c r="H15" s="230">
        <f>IF(ISNUMBER((Datos!M15-Datos!W15)/Datos!W15),(Datos!M15-Datos!W15)/Datos!W15," - ")</f>
        <v>7.5573549257759789E-2</v>
      </c>
      <c r="I15" s="350">
        <f>IF(ISNUMBER((Tasas!C15-Datos!BE15)/Datos!BE15),(Tasas!C15-Datos!BE15)/Datos!BE15," - ")</f>
        <v>-0.15946468665089927</v>
      </c>
      <c r="J15" s="349">
        <f>IF(ISNUMBER((Tasas!D15-Datos!BF15)/Datos!BF15),(Tasas!D15-Datos!BF15)/Datos!BF15," - ")</f>
        <v>-2.9120804725748725E-2</v>
      </c>
      <c r="K15" s="351">
        <f>IF(ISNUMBER((Tasas!E15-Datos!BG15)/Datos!BG15),(Tasas!E15-Datos!BG15)/Datos!BG15," - ")</f>
        <v>-5.6693763749596504E-2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0.25362318840579712</v>
      </c>
      <c r="E17" s="348">
        <f>IF(ISNUMBER(
   IF(D_I="SI",(Datos!J17-Datos!T17)/Datos!T17,(Datos!J17+Datos!AD17-(Datos!T17+Datos!AL17))/(Datos!T17+Datos!AL17))
     ),IF(D_I="SI",(Datos!J17-Datos!T17)/Datos!T17,(Datos!J17+Datos!AD17-(Datos!T17+Datos!AL17))/(Datos!T17+Datos!AL17))," - ")</f>
        <v>-7.6696165191740412E-2</v>
      </c>
      <c r="F17" s="348">
        <f>IF(ISNUMBER(
   IF(D_I="SI",(Datos!K17-Datos!U17)/Datos!U17,(Datos!K17+Datos!AE17-(Datos!U17+Datos!AM17))/(Datos!U17+Datos!AM17))
     ),IF(D_I="SI",(Datos!K17-Datos!U17)/Datos!U17,(Datos!K17+Datos!AE17-(Datos!U17+Datos!AM17))/(Datos!U17+Datos!AM17))," - ")</f>
        <v>0.13333333333333333</v>
      </c>
      <c r="G17" s="349">
        <f>IF(ISNUMBER(
   IF(D_I="SI",(Datos!L17-Datos!V17)/Datos!V17,(Datos!L17+Datos!AF17-(Datos!V17+Datos!AN17))/(Datos!V17+Datos!AN17))
     ),IF(D_I="SI",(Datos!L17-Datos!V17)/Datos!V17,(Datos!L17+Datos!AF17-(Datos!V17+Datos!AN17))/(Datos!V17+Datos!AN17))," - ")</f>
        <v>-0.10793650793650794</v>
      </c>
      <c r="H17" s="230">
        <f>IF(ISNUMBER((Datos!M17-Datos!W17)/Datos!W17),(Datos!M17-Datos!W17)/Datos!W17," - ")</f>
        <v>-7.2727272727272724E-2</v>
      </c>
      <c r="I17" s="350">
        <f>IF(ISNUMBER((Tasas!C17-Datos!BE17)/Datos!BE17),(Tasas!C17-Datos!BE17)/Datos!BE17," - ")</f>
        <v>-0.21288515406162473</v>
      </c>
      <c r="J17" s="349">
        <f>IF(ISNUMBER((Tasas!D17-Datos!BF17)/Datos!BF17),(Tasas!D17-Datos!BF17)/Datos!BF17," - ")</f>
        <v>-0.1818181818181818</v>
      </c>
      <c r="K17" s="351">
        <f>IF(ISNUMBER((Tasas!E17-Datos!BG17)/Datos!BG17),(Tasas!E17-Datos!BG17)/Datos!BG17," - ")</f>
        <v>-5.4519368723098913E-2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-4.7717842323651449E-2</v>
      </c>
      <c r="E18" s="354">
        <f>IF(ISNUMBER(
   IF(D_I="SI",(Datos!J18-Datos!T18)/Datos!T18,(Datos!J18+Datos!AD18-(Datos!T18+Datos!AL18))/(Datos!T18+Datos!AL18))
     ),IF(D_I="SI",(Datos!J18-Datos!T18)/Datos!T18,(Datos!J18+Datos!AD18-(Datos!T18+Datos!AL18))/(Datos!T18+Datos!AL18))," - ")</f>
        <v>0.10122908842608398</v>
      </c>
      <c r="F18" s="354">
        <f>IF(ISNUMBER(
   IF(D_I="SI",(Datos!K18-Datos!U18)/Datos!U18,(Datos!K18+Datos!AE18-(Datos!U18+Datos!AM18))/(Datos!U18+Datos!AM18))
     ),IF(D_I="SI",(Datos!K18-Datos!U18)/Datos!U18,(Datos!K18+Datos!AE18-(Datos!U18+Datos!AM18))/(Datos!U18+Datos!AM18))," - ")</f>
        <v>0.10910296799867351</v>
      </c>
      <c r="G18" s="355">
        <f>IF(ISNUMBER(
   IF(D_I="SI",(Datos!L18-Datos!V18)/Datos!V18,(Datos!L18+Datos!AF18-(Datos!V18+Datos!AN18))/(Datos!V18+Datos!AN18))
     ),IF(D_I="SI",(Datos!L18-Datos!V18)/Datos!V18,(Datos!L18+Datos!AF18-(Datos!V18+Datos!AN18))/(Datos!V18+Datos!AN18))," - ")</f>
        <v>-7.2583104605062523E-2</v>
      </c>
      <c r="H18" s="356">
        <f>IF(ISNUMBER((Datos!M18-Datos!W18)/Datos!W18),(Datos!M18-Datos!W18)/Datos!W18," - ")</f>
        <v>6.5326633165829151E-2</v>
      </c>
      <c r="I18" s="357">
        <f>IF(ISNUMBER((Tasas!C18-Datos!BE18)/Datos!BE18),(Tasas!C18-Datos!BE18)/Datos!BE18," - ")</f>
        <v>-0.16381353025461687</v>
      </c>
      <c r="J18" s="355">
        <f>IF(ISNUMBER((Tasas!D18-Datos!BF18)/Datos!BF18),(Tasas!D18-Datos!BF18)/Datos!BF18," - ")</f>
        <v>-3.9470036683642393E-2</v>
      </c>
      <c r="K18" s="358">
        <f>IF(ISNUMBER((Tasas!E18-Datos!BG18)/Datos!BG18),(Tasas!E18-Datos!BG18)/Datos!BG18," - ")</f>
        <v>-5.6179821860199798E-2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9.8246415719426522E-2</v>
      </c>
      <c r="E19" s="363">
        <f>IF(ISNUMBER(
   IF(J_V="SI",(Datos!J19-Datos!T19)/Datos!T19,(Datos!J19+Datos!Z19-(Datos!T19+Datos!AH19))/(Datos!T19+Datos!AH19))
     ),IF(J_V="SI",(Datos!J19-Datos!T19)/Datos!T19,(Datos!J19+Datos!Z19-(Datos!T19+Datos!AH19))/(Datos!T19+Datos!AH19))," - ")</f>
        <v>0.13730335227740714</v>
      </c>
      <c r="F19" s="363">
        <f>IF(ISNUMBER(
   IF(J_V="SI",(Datos!K19-Datos!U19)/Datos!U19,(Datos!K19+Datos!AA19-(Datos!U19+Datos!AI19))/(Datos!U19+Datos!AI19))
     ),IF(J_V="SI",(Datos!K19-Datos!U19)/Datos!U19,(Datos!K19+Datos!AA19-(Datos!U19+Datos!AI19))/(Datos!U19+Datos!AI19))," - ")</f>
        <v>0.16962426060151628</v>
      </c>
      <c r="G19" s="364">
        <f>IF(ISNUMBER(
   IF(J_V="SI",(Datos!L19-Datos!V19)/Datos!V19,(Datos!L19+Datos!AB19-(Datos!V19+Datos!AJ19))/(Datos!V19+Datos!AJ19))
     ),IF(J_V="SI",(Datos!L19-Datos!V19)/Datos!V19,(Datos!L19+Datos!AB19-(Datos!V19+Datos!AJ19))/(Datos!V19+Datos!AJ19))," - ")</f>
        <v>2.0471815810366337E-2</v>
      </c>
      <c r="H19" s="365">
        <f>IF(ISNUMBER((Datos!M19-Datos!W19)/Datos!W19),(Datos!M19-Datos!W19)/Datos!W19," - ")</f>
        <v>0.17033603707995365</v>
      </c>
      <c r="I19" s="362">
        <f>IF(ISNUMBER((Tasas!C19-Datos!BE19)/Datos!BE19),(Tasas!C19-Datos!BE19)/Datos!BE19," - ")</f>
        <v>-0.12752167496461092</v>
      </c>
      <c r="J19" s="363">
        <f>IF(ISNUMBER((Tasas!D19-Datos!BF19)/Datos!BF19),(Tasas!D19-Datos!BF19)/Datos!BF19," - ")</f>
        <v>-0.22087953697192628</v>
      </c>
      <c r="K19" s="364">
        <f>IF(ISNUMBER((Tasas!E19-Datos!BG19)/Datos!BG19),(Tasas!E19-Datos!BG19)/Datos!BG19," - ")</f>
        <v>-4.7351821886813035E-2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0.15685672492111968</v>
      </c>
      <c r="E21" s="278">
        <f t="shared" si="1"/>
        <v>0.20132475163033342</v>
      </c>
      <c r="F21" s="278">
        <f t="shared" si="1"/>
        <v>5.6489731718054131E-2</v>
      </c>
      <c r="G21" s="279">
        <f t="shared" si="1"/>
        <v>4.5137956371435889E-2</v>
      </c>
      <c r="H21" s="285">
        <f t="shared" si="1"/>
        <v>0.73468680730604219</v>
      </c>
      <c r="I21" s="277">
        <f t="shared" si="1"/>
        <v>5.3245650808958468E-2</v>
      </c>
      <c r="J21" s="278">
        <f t="shared" si="1"/>
        <v>0.65567305918649843</v>
      </c>
      <c r="K21" s="279">
        <f t="shared" si="1"/>
        <v>5.1404448647091601E-2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MnK8qqGlPWs6b1Jg4zHszduyJsQD4fw9fWJEQOhSrP/azqtMn4jYVSUQ1O9miYjMadVvD+LjyVK6XmLmBxVzQ==" saltValue="bd21E8uH7kOFz28uyxSo4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